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R:\Policy\DMR - New Structure\S106\Estimator\"/>
    </mc:Choice>
  </mc:AlternateContent>
  <workbookProtection workbookPassword="A93B" lockStructure="1"/>
  <bookViews>
    <workbookView xWindow="0" yWindow="0" windowWidth="23040" windowHeight="9192" tabRatio="579"/>
  </bookViews>
  <sheets>
    <sheet name="Front page" sheetId="3" r:id="rId1"/>
    <sheet name="Residential - non student" sheetId="4" r:id="rId2"/>
    <sheet name="Residential - students" sheetId="5" r:id="rId3"/>
    <sheet name="Commercial" sheetId="6" r:id="rId4"/>
    <sheet name="Operational proportions" sheetId="7" state="hidden" r:id="rId5"/>
    <sheet name="Officer sheet" sheetId="2" state="hidden" r:id="rId6"/>
    <sheet name="inputs" sheetId="1" state="hidden" r:id="rId7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7" i="5" l="1"/>
  <c r="C14" i="2" l="1"/>
  <c r="B13" i="2"/>
  <c r="C13" i="2" s="1"/>
  <c r="B15" i="2"/>
  <c r="C15" i="2" s="1"/>
  <c r="B12" i="5" l="1"/>
  <c r="B14" i="2" l="1"/>
  <c r="D13" i="2" l="1"/>
  <c r="D15" i="2" l="1"/>
  <c r="G15" i="2"/>
  <c r="B48" i="4" s="1"/>
  <c r="C9" i="4"/>
  <c r="C7" i="1" s="1"/>
  <c r="D9" i="4"/>
  <c r="D7" i="1" s="1"/>
  <c r="E9" i="4"/>
  <c r="E7" i="1" s="1"/>
  <c r="F9" i="4"/>
  <c r="F7" i="1" s="1"/>
  <c r="B9" i="4"/>
  <c r="B7" i="1" s="1"/>
  <c r="G7" i="4"/>
  <c r="D4" i="7" l="1"/>
  <c r="D8" i="7" s="1"/>
  <c r="B88" i="2"/>
  <c r="F86" i="2"/>
  <c r="F90" i="2" s="1"/>
  <c r="F89" i="2" l="1"/>
  <c r="F87" i="2"/>
  <c r="F88" i="2"/>
  <c r="D7" i="7"/>
  <c r="D5" i="7"/>
  <c r="D6" i="7"/>
  <c r="E86" i="2"/>
  <c r="D86" i="2"/>
  <c r="D9" i="7" l="1"/>
  <c r="E89" i="2"/>
  <c r="D89" i="2"/>
  <c r="D90" i="2"/>
  <c r="D87" i="2"/>
  <c r="B89" i="2"/>
  <c r="C56" i="2"/>
  <c r="C55" i="2"/>
  <c r="C54" i="2"/>
  <c r="E48" i="2"/>
  <c r="E49" i="2"/>
  <c r="E50" i="2"/>
  <c r="E51" i="2"/>
  <c r="E52" i="2"/>
  <c r="E53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54" i="2"/>
  <c r="E55" i="2"/>
  <c r="E56" i="2"/>
  <c r="E57" i="2"/>
  <c r="E76" i="2"/>
  <c r="E77" i="2"/>
  <c r="E78" i="2"/>
  <c r="E79" i="2"/>
  <c r="E80" i="2"/>
  <c r="E81" i="2"/>
  <c r="E47" i="2"/>
  <c r="D88" i="2" l="1"/>
  <c r="D91" i="2" s="1"/>
  <c r="B52" i="4" s="1"/>
  <c r="E90" i="2"/>
  <c r="E88" i="2"/>
  <c r="E87" i="2"/>
  <c r="B19" i="1"/>
  <c r="B18" i="1"/>
  <c r="B12" i="1"/>
  <c r="G8" i="4"/>
  <c r="D14" i="2" l="1"/>
  <c r="G14" i="2" s="1"/>
  <c r="G9" i="4"/>
  <c r="E91" i="2"/>
  <c r="B30" i="5" s="1"/>
  <c r="B38" i="6"/>
  <c r="F91" i="2"/>
  <c r="B34" i="6" s="1"/>
  <c r="B22" i="5"/>
  <c r="D32" i="2"/>
  <c r="D31" i="2"/>
  <c r="K24" i="2"/>
  <c r="E32" i="2" s="1"/>
  <c r="C26" i="2"/>
  <c r="C27" i="2" s="1"/>
  <c r="D26" i="2"/>
  <c r="D27" i="2" s="1"/>
  <c r="E26" i="2"/>
  <c r="E27" i="2" s="1"/>
  <c r="F26" i="2"/>
  <c r="F27" i="2" s="1"/>
  <c r="B26" i="2"/>
  <c r="B47" i="4" l="1"/>
  <c r="B26" i="5"/>
  <c r="E31" i="2"/>
  <c r="B25" i="6" s="1"/>
  <c r="B29" i="6" s="1"/>
  <c r="B19" i="6" s="1"/>
  <c r="G26" i="2"/>
  <c r="B27" i="2"/>
  <c r="G7" i="1"/>
  <c r="F9" i="2"/>
  <c r="E9" i="2"/>
  <c r="C9" i="2"/>
  <c r="D9" i="2"/>
  <c r="B9" i="2"/>
  <c r="B40" i="4" l="1"/>
  <c r="J27" i="2" s="1"/>
  <c r="K27" i="2" s="1"/>
  <c r="B31" i="4"/>
  <c r="G27" i="2"/>
  <c r="G9" i="2"/>
  <c r="B4" i="2" l="1"/>
  <c r="B44" i="4"/>
  <c r="B32" i="4"/>
  <c r="B36" i="4"/>
  <c r="B16" i="4" l="1"/>
  <c r="B24" i="4" s="1"/>
</calcChain>
</file>

<file path=xl/sharedStrings.xml><?xml version="1.0" encoding="utf-8"?>
<sst xmlns="http://schemas.openxmlformats.org/spreadsheetml/2006/main" count="272" uniqueCount="174">
  <si>
    <t>Residential developments</t>
  </si>
  <si>
    <t>Number of units proposed</t>
  </si>
  <si>
    <t>1 bed</t>
  </si>
  <si>
    <t>2 bed</t>
  </si>
  <si>
    <t>3 bed</t>
  </si>
  <si>
    <t>4 bed</t>
  </si>
  <si>
    <t>Total</t>
  </si>
  <si>
    <t>Average sale price of semi detached home</t>
  </si>
  <si>
    <t>2bed</t>
  </si>
  <si>
    <t>Residential</t>
  </si>
  <si>
    <t>Purpose built student accommodation</t>
  </si>
  <si>
    <t>Number of bedspaces</t>
  </si>
  <si>
    <t>5 or more bed</t>
  </si>
  <si>
    <t>5 bed</t>
  </si>
  <si>
    <t>Open space</t>
  </si>
  <si>
    <t>cost per household</t>
  </si>
  <si>
    <t>total cost</t>
  </si>
  <si>
    <t>Average persons per household</t>
  </si>
  <si>
    <t>cost per person</t>
  </si>
  <si>
    <t xml:space="preserve">Commercial </t>
  </si>
  <si>
    <t>B1a</t>
  </si>
  <si>
    <t>B1b</t>
  </si>
  <si>
    <t>Offices</t>
  </si>
  <si>
    <t>Research and development</t>
  </si>
  <si>
    <t>Internal floorspace sqm</t>
  </si>
  <si>
    <t>sq m per employee</t>
  </si>
  <si>
    <t>OR</t>
  </si>
  <si>
    <t>total people</t>
  </si>
  <si>
    <t>Development use class</t>
  </si>
  <si>
    <t>Other</t>
  </si>
  <si>
    <t>Hectares per 1000 people</t>
  </si>
  <si>
    <t>sq m per person</t>
  </si>
  <si>
    <t>cost per employee</t>
  </si>
  <si>
    <t xml:space="preserve">S106 Calculator </t>
  </si>
  <si>
    <t>Residential developments - non students.</t>
  </si>
  <si>
    <t>4 bedroom</t>
  </si>
  <si>
    <t>2 bedroom</t>
  </si>
  <si>
    <t>3 bedroom</t>
  </si>
  <si>
    <t>On site provision of:</t>
  </si>
  <si>
    <t>Affordable homes</t>
  </si>
  <si>
    <t xml:space="preserve">OR </t>
  </si>
  <si>
    <t xml:space="preserve">A contribution of </t>
  </si>
  <si>
    <t>towards the development of affordable housing</t>
  </si>
  <si>
    <t>sq m</t>
  </si>
  <si>
    <t>towards the provision of open space</t>
  </si>
  <si>
    <t xml:space="preserve">A total contribution of </t>
  </si>
  <si>
    <t>would be required for this site</t>
  </si>
  <si>
    <t>Studio or 1 bedroom</t>
  </si>
  <si>
    <t>This consists of:</t>
  </si>
  <si>
    <t>A contribution of</t>
  </si>
  <si>
    <t>Commercial developments</t>
  </si>
  <si>
    <t>Use Class</t>
  </si>
  <si>
    <t>Floorspace</t>
  </si>
  <si>
    <t>OPEN SPACE</t>
  </si>
  <si>
    <t>AFFORDABLE HOUSING</t>
  </si>
  <si>
    <t>Onsite open space proposed</t>
  </si>
  <si>
    <t>Additional on site provision of</t>
  </si>
  <si>
    <t>open space calc</t>
  </si>
  <si>
    <t>employment  calc</t>
  </si>
  <si>
    <t>Detailed use class</t>
  </si>
  <si>
    <t xml:space="preserve">B1a </t>
  </si>
  <si>
    <t>Offices - Corporate</t>
  </si>
  <si>
    <t>Offices - Professional services</t>
  </si>
  <si>
    <t>Offices - Public sector</t>
  </si>
  <si>
    <t>Offices - TMT</t>
  </si>
  <si>
    <t>Offices - Finance and Insurance</t>
  </si>
  <si>
    <t>Call centres</t>
  </si>
  <si>
    <t>R and D</t>
  </si>
  <si>
    <t xml:space="preserve">B1c - Light Industrial </t>
  </si>
  <si>
    <t>B2 - Industrial and Manufacturing</t>
  </si>
  <si>
    <t>B8 - Storage and Distribution - National Centre</t>
  </si>
  <si>
    <t>B8 - Storage and Distribution - Regional Centre</t>
  </si>
  <si>
    <t>B8 - Storage and Distribution - 'Final Mile'</t>
  </si>
  <si>
    <t>Mixed B Class - Small Business Incubator</t>
  </si>
  <si>
    <t>Mixed B Class - Small Business Maker spaces</t>
  </si>
  <si>
    <t>Mixed B Class - Small Business Studio</t>
  </si>
  <si>
    <t>Mixed B Class - Small Business Co working</t>
  </si>
  <si>
    <t>Mixed B Class - Small Business managed Workspace</t>
  </si>
  <si>
    <t>B8/ Sui Generis - Wholesale</t>
  </si>
  <si>
    <t>B8/ Sui Generis - Wholesale dark site</t>
  </si>
  <si>
    <t>B8/ Sui Generis - Co location facility</t>
  </si>
  <si>
    <t>A1 - Retail - High Street</t>
  </si>
  <si>
    <t>A1 - Retail - Food store</t>
  </si>
  <si>
    <t>A1 - Retail - Retail Warehouse</t>
  </si>
  <si>
    <t>A2 - Finance and Prof Services</t>
  </si>
  <si>
    <t>A3 - Restaurants and Cafes</t>
  </si>
  <si>
    <t>C1 - Hotels - Budget</t>
  </si>
  <si>
    <t>C1 - Hotels - Mid scale</t>
  </si>
  <si>
    <t>C1 - Hotels - Up scale</t>
  </si>
  <si>
    <t>C1 - Hotels - Luxury</t>
  </si>
  <si>
    <t>D2 - Fitness Centre - Budget</t>
  </si>
  <si>
    <t>D2 - Fitness Centre - Mid market</t>
  </si>
  <si>
    <t>D2 - Fitness Centre - Family</t>
  </si>
  <si>
    <t>D2 - Cinema</t>
  </si>
  <si>
    <t>D2 - Visitor and Cultural Attractions</t>
  </si>
  <si>
    <t>D2 - Amusement and Entertainment Centres</t>
  </si>
  <si>
    <t>Type of development</t>
  </si>
  <si>
    <t>Fte** per £1m works</t>
  </si>
  <si>
    <t>Industrial sites/infrastructure</t>
  </si>
  <si>
    <t>Hotel , offices, retail &amp; mixed  use, sports stadia</t>
  </si>
  <si>
    <t>Hospital, school, leisure</t>
  </si>
  <si>
    <t>Housing</t>
  </si>
  <si>
    <t>EMPLOYMENT AND TRAINING - Construction</t>
  </si>
  <si>
    <t>Build Cost</t>
  </si>
  <si>
    <t>£ million</t>
  </si>
  <si>
    <t>Build cost</t>
  </si>
  <si>
    <t>towards supporting local people to access construction jobs</t>
  </si>
  <si>
    <t>sqm per employee</t>
  </si>
  <si>
    <t>FTE per £1m works</t>
  </si>
  <si>
    <t>EMPLOYMENT AND TRAINING - Operations</t>
  </si>
  <si>
    <t>C1</t>
  </si>
  <si>
    <t>Hotels</t>
  </si>
  <si>
    <t>For hotels, please give number of rooms</t>
  </si>
  <si>
    <t>Proportion</t>
  </si>
  <si>
    <t>Cost</t>
  </si>
  <si>
    <t>towards supporting local people to access jobs in the development</t>
  </si>
  <si>
    <t>Select use class first</t>
  </si>
  <si>
    <t>Construction calculations</t>
  </si>
  <si>
    <t>OPEN SPACE CALCULATIONS</t>
  </si>
  <si>
    <t>EMPLOYMENT AND TRAINING CALCULATIONS</t>
  </si>
  <si>
    <t>Nottm jobs admin</t>
  </si>
  <si>
    <t>pre emp training</t>
  </si>
  <si>
    <t>upskilling</t>
  </si>
  <si>
    <t>work experience</t>
  </si>
  <si>
    <t>student</t>
  </si>
  <si>
    <t>commercial</t>
  </si>
  <si>
    <t>Jobs calculations - construction</t>
  </si>
  <si>
    <t>Jobs calculations - operations</t>
  </si>
  <si>
    <t>Approx number of new jobs created</t>
  </si>
  <si>
    <t>leave blank if unknown</t>
  </si>
  <si>
    <t>NB HOTELS SHOW Employees per bedroom</t>
  </si>
  <si>
    <t>OPEN SPACE HOUSING</t>
  </si>
  <si>
    <t>Total jobs</t>
  </si>
  <si>
    <t>Percentage</t>
  </si>
  <si>
    <t>pre employment training</t>
  </si>
  <si>
    <t>Residential developments - students</t>
  </si>
  <si>
    <t>Site Area</t>
  </si>
  <si>
    <t>hectares</t>
  </si>
  <si>
    <t xml:space="preserve">  of which </t>
  </si>
  <si>
    <t>should be affordable homes to buy</t>
  </si>
  <si>
    <t>AFFORDABLE HOUSING*</t>
  </si>
  <si>
    <t>*Where affordable housing is on site, early discussions regarding preferred tenure/house type are recommended</t>
  </si>
  <si>
    <t>Footnotes</t>
  </si>
  <si>
    <t>Houses</t>
  </si>
  <si>
    <t>Flats</t>
  </si>
  <si>
    <t>EDUCATION 1</t>
  </si>
  <si>
    <t>Education 2</t>
  </si>
  <si>
    <t>Primary</t>
  </si>
  <si>
    <t>Secondary</t>
  </si>
  <si>
    <t>SEND %</t>
  </si>
  <si>
    <t>children per house</t>
  </si>
  <si>
    <t>children per flat</t>
  </si>
  <si>
    <t>contribution for children</t>
  </si>
  <si>
    <t>contribution inc SEND premium</t>
  </si>
  <si>
    <t>5 or more bedroom</t>
  </si>
  <si>
    <t>only applicable for schemes of 10 to 14 dwellings</t>
  </si>
  <si>
    <t>Open space contributions required for B1a and B1b uses only</t>
  </si>
  <si>
    <t>towards the provision of primary school education</t>
  </si>
  <si>
    <t>towards the provision of secondary school education</t>
  </si>
  <si>
    <t>Houses (or 3+ bed flats) primary</t>
  </si>
  <si>
    <t>Houses (or 3+ bed flats) secondary</t>
  </si>
  <si>
    <t>Flats (2 bed) primary</t>
  </si>
  <si>
    <t>SCROLL DOWN TO SEE HOW THE CONTRIBUTION IS MADE UP</t>
  </si>
  <si>
    <t>EDUCATION**</t>
  </si>
  <si>
    <t>** For developments of less than 10 units it is unlikely that the Council will seek a contribution towards education</t>
  </si>
  <si>
    <t xml:space="preserve">A total S106 contribution of </t>
  </si>
  <si>
    <t>Onsite affordable housing proposed</t>
  </si>
  <si>
    <t>Please complete the the boxes highlighted in yellow below</t>
  </si>
  <si>
    <t>Please complete the the boxes highlighted in yellow below where applicable</t>
  </si>
  <si>
    <t>Affordable homes required minus proposed</t>
  </si>
  <si>
    <t>OR if onsite affordable housing and/or open space is proposed</t>
  </si>
  <si>
    <t>If no on site provision of affordable homes or open space is made</t>
  </si>
  <si>
    <t>On site provision</t>
  </si>
  <si>
    <t>** 5 bed houses may be counted as two houses for the purpose of the education calculation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</si>
</sst>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&quot;£&quot;#,##0.00"/>
    <numFmt numFmtId="165" formatCode="&quot;£&quot;#,##0"/>
    <numFmt numFmtId="166" formatCode="#,##0.0"/>
    <numFmt numFmtId="167" formatCode="#,##0.0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164" fontId="0" fillId="0" borderId="0" xfId="0" applyNumberFormat="1"/>
    <xf numFmtId="1" fontId="0" fillId="0" borderId="0" xfId="0" applyNumberFormat="1"/>
    <xf numFmtId="3" fontId="0" fillId="0" borderId="0" xfId="0" applyNumberFormat="1"/>
    <xf numFmtId="0" fontId="0" fillId="0" borderId="2" xfId="0" applyBorder="1"/>
    <xf numFmtId="0" fontId="0" fillId="0" borderId="3" xfId="0" applyBorder="1"/>
    <xf numFmtId="0" fontId="0" fillId="0" borderId="6" xfId="0" applyBorder="1"/>
    <xf numFmtId="1" fontId="0" fillId="3" borderId="0" xfId="0" applyNumberFormat="1" applyFill="1"/>
    <xf numFmtId="165" fontId="0" fillId="3" borderId="0" xfId="0" applyNumberFormat="1" applyFill="1"/>
    <xf numFmtId="166" fontId="0" fillId="3" borderId="0" xfId="0" applyNumberFormat="1" applyFill="1"/>
    <xf numFmtId="3" fontId="0" fillId="3" borderId="0" xfId="0" applyNumberFormat="1" applyFill="1"/>
    <xf numFmtId="0" fontId="0" fillId="3" borderId="1" xfId="0" applyFill="1" applyBorder="1"/>
    <xf numFmtId="0" fontId="0" fillId="0" borderId="0" xfId="0" applyFill="1"/>
    <xf numFmtId="0" fontId="0" fillId="0" borderId="0" xfId="0" applyFill="1" applyBorder="1" applyProtection="1"/>
    <xf numFmtId="0" fontId="4" fillId="0" borderId="1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164" fontId="0" fillId="3" borderId="0" xfId="0" applyNumberFormat="1" applyFill="1"/>
    <xf numFmtId="164" fontId="0" fillId="2" borderId="0" xfId="0" applyNumberFormat="1" applyFill="1" applyProtection="1">
      <protection locked="0"/>
    </xf>
    <xf numFmtId="0" fontId="0" fillId="2" borderId="0" xfId="0" applyFill="1" applyProtection="1">
      <protection locked="0"/>
    </xf>
    <xf numFmtId="0" fontId="3" fillId="2" borderId="9" xfId="0" applyFont="1" applyFill="1" applyBorder="1" applyAlignment="1" applyProtection="1">
      <alignment horizontal="center" vertical="center" wrapText="1"/>
      <protection locked="0"/>
    </xf>
    <xf numFmtId="0" fontId="0" fillId="4" borderId="0" xfId="0" applyFill="1"/>
    <xf numFmtId="0" fontId="0" fillId="0" borderId="0" xfId="0" applyProtection="1"/>
    <xf numFmtId="0" fontId="1" fillId="0" borderId="0" xfId="0" applyFont="1" applyProtection="1"/>
    <xf numFmtId="0" fontId="0" fillId="0" borderId="0" xfId="0" applyFill="1" applyProtection="1"/>
    <xf numFmtId="0" fontId="2" fillId="0" borderId="0" xfId="0" applyFont="1"/>
    <xf numFmtId="0" fontId="0" fillId="0" borderId="8" xfId="0" applyBorder="1"/>
    <xf numFmtId="0" fontId="0" fillId="0" borderId="1" xfId="0" applyBorder="1"/>
    <xf numFmtId="0" fontId="0" fillId="3" borderId="4" xfId="0" applyFill="1" applyBorder="1" applyProtection="1"/>
    <xf numFmtId="0" fontId="0" fillId="3" borderId="5" xfId="0" applyFill="1" applyBorder="1" applyProtection="1"/>
    <xf numFmtId="0" fontId="0" fillId="3" borderId="1" xfId="0" applyFill="1" applyBorder="1" applyProtection="1"/>
    <xf numFmtId="4" fontId="0" fillId="2" borderId="0" xfId="0" applyNumberFormat="1" applyFill="1" applyProtection="1">
      <protection locked="0"/>
    </xf>
    <xf numFmtId="167" fontId="0" fillId="2" borderId="0" xfId="0" applyNumberFormat="1" applyFill="1" applyProtection="1">
      <protection locked="0"/>
    </xf>
    <xf numFmtId="164" fontId="1" fillId="5" borderId="1" xfId="0" applyNumberFormat="1" applyFont="1" applyFill="1" applyBorder="1"/>
    <xf numFmtId="165" fontId="1" fillId="5" borderId="1" xfId="0" applyNumberFormat="1" applyFont="1" applyFill="1" applyBorder="1"/>
    <xf numFmtId="0" fontId="1" fillId="0" borderId="0" xfId="0" applyFont="1" applyFill="1" applyBorder="1" applyProtection="1"/>
    <xf numFmtId="1" fontId="1" fillId="5" borderId="1" xfId="0" applyNumberFormat="1" applyFont="1" applyFill="1" applyBorder="1"/>
    <xf numFmtId="164" fontId="1" fillId="0" borderId="0" xfId="0" applyNumberFormat="1" applyFont="1" applyFill="1" applyBorder="1"/>
    <xf numFmtId="0" fontId="0" fillId="6" borderId="0" xfId="0" applyFill="1"/>
    <xf numFmtId="0" fontId="0" fillId="6" borderId="2" xfId="0" applyFill="1" applyBorder="1" applyProtection="1">
      <protection locked="0"/>
    </xf>
    <xf numFmtId="0" fontId="0" fillId="6" borderId="3" xfId="0" applyFill="1" applyBorder="1" applyProtection="1">
      <protection locked="0"/>
    </xf>
    <xf numFmtId="0" fontId="0" fillId="6" borderId="4" xfId="0" applyFill="1" applyBorder="1" applyProtection="1">
      <protection locked="0"/>
    </xf>
    <xf numFmtId="0" fontId="0" fillId="6" borderId="5" xfId="0" applyFill="1" applyBorder="1" applyProtection="1">
      <protection locked="0"/>
    </xf>
    <xf numFmtId="0" fontId="0" fillId="6" borderId="1" xfId="0" applyFill="1" applyBorder="1" applyProtection="1">
      <protection locked="0"/>
    </xf>
    <xf numFmtId="0" fontId="2" fillId="6" borderId="1" xfId="0" applyFont="1" applyFill="1" applyBorder="1" applyProtection="1">
      <protection locked="0"/>
    </xf>
    <xf numFmtId="1" fontId="1" fillId="5" borderId="0" xfId="0" applyNumberFormat="1" applyFont="1" applyFill="1" applyBorder="1"/>
    <xf numFmtId="2" fontId="0" fillId="2" borderId="0" xfId="0" applyNumberFormat="1" applyFill="1" applyProtection="1">
      <protection locked="0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'Residential - students'!A1"/><Relationship Id="rId7" Type="http://schemas.openxmlformats.org/officeDocument/2006/relationships/hyperlink" Target="http://www.nottinghamcity.gov.uk/s106-estimator" TargetMode="External"/><Relationship Id="rId2" Type="http://schemas.openxmlformats.org/officeDocument/2006/relationships/hyperlink" Target="#'Residential - non student'!A1"/><Relationship Id="rId1" Type="http://schemas.openxmlformats.org/officeDocument/2006/relationships/image" Target="../media/image1.jpg"/><Relationship Id="rId6" Type="http://schemas.openxmlformats.org/officeDocument/2006/relationships/image" Target="../media/image2.png"/><Relationship Id="rId5" Type="http://schemas.openxmlformats.org/officeDocument/2006/relationships/hyperlink" Target="http://documents.nottinghamcity.gov.uk/download/8714" TargetMode="External"/><Relationship Id="rId4" Type="http://schemas.openxmlformats.org/officeDocument/2006/relationships/hyperlink" Target="#Commercial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'Front page'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'Front page'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'Front page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</xdr:colOff>
      <xdr:row>0</xdr:row>
      <xdr:rowOff>22860</xdr:rowOff>
    </xdr:from>
    <xdr:to>
      <xdr:col>23</xdr:col>
      <xdr:colOff>342900</xdr:colOff>
      <xdr:row>52</xdr:row>
      <xdr:rowOff>78740</xdr:rowOff>
    </xdr:to>
    <xdr:pic>
      <xdr:nvPicPr>
        <xdr:cNvPr id="4" name="Picture 3"/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667" b="-11667"/>
        <a:stretch/>
      </xdr:blipFill>
      <xdr:spPr>
        <a:xfrm>
          <a:off x="15240" y="22860"/>
          <a:ext cx="14348460" cy="9565640"/>
        </a:xfrm>
        <a:prstGeom prst="rect">
          <a:avLst/>
        </a:prstGeom>
      </xdr:spPr>
    </xdr:pic>
    <xdr:clientData/>
  </xdr:twoCellAnchor>
  <xdr:twoCellAnchor>
    <xdr:from>
      <xdr:col>3</xdr:col>
      <xdr:colOff>0</xdr:colOff>
      <xdr:row>10</xdr:row>
      <xdr:rowOff>167640</xdr:rowOff>
    </xdr:from>
    <xdr:to>
      <xdr:col>7</xdr:col>
      <xdr:colOff>114300</xdr:colOff>
      <xdr:row>18</xdr:row>
      <xdr:rowOff>30480</xdr:rowOff>
    </xdr:to>
    <xdr:sp macro="" textlink="">
      <xdr:nvSpPr>
        <xdr:cNvPr id="3" name="Rounded Rectangle 2">
          <a:hlinkClick xmlns:r="http://schemas.openxmlformats.org/officeDocument/2006/relationships" r:id="rId2"/>
        </xdr:cNvPr>
        <xdr:cNvSpPr/>
      </xdr:nvSpPr>
      <xdr:spPr>
        <a:xfrm>
          <a:off x="1828800" y="1996440"/>
          <a:ext cx="2552700" cy="132588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GB" sz="1800"/>
            <a:t>Residential developments - non students</a:t>
          </a:r>
        </a:p>
      </xdr:txBody>
    </xdr:sp>
    <xdr:clientData/>
  </xdr:twoCellAnchor>
  <xdr:twoCellAnchor>
    <xdr:from>
      <xdr:col>7</xdr:col>
      <xdr:colOff>190500</xdr:colOff>
      <xdr:row>1</xdr:row>
      <xdr:rowOff>45720</xdr:rowOff>
    </xdr:from>
    <xdr:to>
      <xdr:col>15</xdr:col>
      <xdr:colOff>342900</xdr:colOff>
      <xdr:row>8</xdr:row>
      <xdr:rowOff>15240</xdr:rowOff>
    </xdr:to>
    <xdr:sp macro="" textlink="">
      <xdr:nvSpPr>
        <xdr:cNvPr id="5" name="TextBox 4"/>
        <xdr:cNvSpPr txBox="1"/>
      </xdr:nvSpPr>
      <xdr:spPr>
        <a:xfrm>
          <a:off x="4457700" y="228600"/>
          <a:ext cx="5029200" cy="12496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GB" sz="3200" b="1">
              <a:solidFill>
                <a:sysClr val="windowText" lastClr="000000"/>
              </a:solidFill>
            </a:rPr>
            <a:t>Nottingham City Council </a:t>
          </a:r>
        </a:p>
        <a:p>
          <a:pPr algn="ctr"/>
          <a:r>
            <a:rPr lang="en-GB" sz="3200" b="1">
              <a:solidFill>
                <a:sysClr val="windowText" lastClr="000000"/>
              </a:solidFill>
            </a:rPr>
            <a:t>Section 106 Estimator</a:t>
          </a:r>
        </a:p>
      </xdr:txBody>
    </xdr:sp>
    <xdr:clientData/>
  </xdr:twoCellAnchor>
  <xdr:twoCellAnchor>
    <xdr:from>
      <xdr:col>9</xdr:col>
      <xdr:colOff>160020</xdr:colOff>
      <xdr:row>11</xdr:row>
      <xdr:rowOff>7620</xdr:rowOff>
    </xdr:from>
    <xdr:to>
      <xdr:col>13</xdr:col>
      <xdr:colOff>289560</xdr:colOff>
      <xdr:row>18</xdr:row>
      <xdr:rowOff>60960</xdr:rowOff>
    </xdr:to>
    <xdr:sp macro="" textlink="">
      <xdr:nvSpPr>
        <xdr:cNvPr id="6" name="Rounded Rectangle 5">
          <a:hlinkClick xmlns:r="http://schemas.openxmlformats.org/officeDocument/2006/relationships" r:id="rId3"/>
        </xdr:cNvPr>
        <xdr:cNvSpPr/>
      </xdr:nvSpPr>
      <xdr:spPr>
        <a:xfrm>
          <a:off x="5646420" y="2019300"/>
          <a:ext cx="2567940" cy="1333500"/>
        </a:xfrm>
        <a:prstGeom prst="round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GB" sz="1800"/>
            <a:t>Residential</a:t>
          </a:r>
          <a:r>
            <a:rPr lang="en-GB" sz="1800" baseline="0"/>
            <a:t> developments - purpose built student developments</a:t>
          </a:r>
          <a:endParaRPr lang="en-GB" sz="1800"/>
        </a:p>
      </xdr:txBody>
    </xdr:sp>
    <xdr:clientData/>
  </xdr:twoCellAnchor>
  <xdr:twoCellAnchor>
    <xdr:from>
      <xdr:col>15</xdr:col>
      <xdr:colOff>388620</xdr:colOff>
      <xdr:row>11</xdr:row>
      <xdr:rowOff>0</xdr:rowOff>
    </xdr:from>
    <xdr:to>
      <xdr:col>19</xdr:col>
      <xdr:colOff>518160</xdr:colOff>
      <xdr:row>18</xdr:row>
      <xdr:rowOff>53340</xdr:rowOff>
    </xdr:to>
    <xdr:sp macro="" textlink="">
      <xdr:nvSpPr>
        <xdr:cNvPr id="7" name="Rounded Rectangle 6">
          <a:hlinkClick xmlns:r="http://schemas.openxmlformats.org/officeDocument/2006/relationships" r:id="rId4"/>
        </xdr:cNvPr>
        <xdr:cNvSpPr/>
      </xdr:nvSpPr>
      <xdr:spPr>
        <a:xfrm>
          <a:off x="9532620" y="2011680"/>
          <a:ext cx="2567940" cy="1333500"/>
        </a:xfrm>
        <a:prstGeom prst="roundRect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en-GB" sz="1800"/>
        </a:p>
        <a:p>
          <a:pPr algn="ctr"/>
          <a:r>
            <a:rPr lang="en-GB" sz="1800"/>
            <a:t>Commercial</a:t>
          </a:r>
          <a:r>
            <a:rPr lang="en-GB" sz="1800" baseline="0"/>
            <a:t> Developments</a:t>
          </a:r>
          <a:endParaRPr lang="en-GB" sz="1800"/>
        </a:p>
      </xdr:txBody>
    </xdr:sp>
    <xdr:clientData/>
  </xdr:twoCellAnchor>
  <xdr:twoCellAnchor>
    <xdr:from>
      <xdr:col>0</xdr:col>
      <xdr:colOff>198120</xdr:colOff>
      <xdr:row>0</xdr:row>
      <xdr:rowOff>167640</xdr:rowOff>
    </xdr:from>
    <xdr:to>
      <xdr:col>5</xdr:col>
      <xdr:colOff>259080</xdr:colOff>
      <xdr:row>6</xdr:row>
      <xdr:rowOff>53340</xdr:rowOff>
    </xdr:to>
    <xdr:sp macro="" textlink="">
      <xdr:nvSpPr>
        <xdr:cNvPr id="2" name="TextBox 1">
          <a:hlinkClick xmlns:r="http://schemas.openxmlformats.org/officeDocument/2006/relationships" r:id="rId5"/>
        </xdr:cNvPr>
        <xdr:cNvSpPr txBox="1"/>
      </xdr:nvSpPr>
      <xdr:spPr>
        <a:xfrm>
          <a:off x="198120" y="167640"/>
          <a:ext cx="3108960" cy="9829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/>
            <a:t>Version 2:</a:t>
          </a:r>
          <a:r>
            <a:rPr lang="en-GB" sz="1100" baseline="0"/>
            <a:t> May 2021</a:t>
          </a:r>
        </a:p>
        <a:p>
          <a:endParaRPr lang="en-GB" sz="1100" baseline="0"/>
        </a:p>
        <a:p>
          <a:r>
            <a:rPr lang="en-GB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The estimator will be revised as and when required. You are advised to always use the latest version of the </a:t>
          </a:r>
          <a:r>
            <a:rPr lang="en-GB" sz="1100" b="0" i="0" u="sng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S106 Estimator</a:t>
          </a:r>
          <a:r>
            <a:rPr lang="en-GB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</a:p>
      </xdr:txBody>
    </xdr:sp>
    <xdr:clientData/>
  </xdr:twoCellAnchor>
  <xdr:twoCellAnchor>
    <xdr:from>
      <xdr:col>4</xdr:col>
      <xdr:colOff>53340</xdr:colOff>
      <xdr:row>22</xdr:row>
      <xdr:rowOff>167640</xdr:rowOff>
    </xdr:from>
    <xdr:to>
      <xdr:col>18</xdr:col>
      <xdr:colOff>388620</xdr:colOff>
      <xdr:row>26</xdr:row>
      <xdr:rowOff>53340</xdr:rowOff>
    </xdr:to>
    <xdr:sp macro="" textlink="">
      <xdr:nvSpPr>
        <xdr:cNvPr id="8" name="TextBox 7"/>
        <xdr:cNvSpPr txBox="1"/>
      </xdr:nvSpPr>
      <xdr:spPr>
        <a:xfrm>
          <a:off x="2491740" y="4191000"/>
          <a:ext cx="8869680" cy="6172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The estimator sets out the likely developer contributions that the Council will seek for affordable housing, open space, education and employment &amp; training. Education contributions may be able to be reduced depending on available capacity in local schools. There may be incidences where additional contributions may also be requested on a case by case basis.  If there are issues with development viability then a viability assessment will be required.</a:t>
          </a:r>
          <a:endParaRPr lang="en-GB" sz="1100"/>
        </a:p>
      </xdr:txBody>
    </xdr:sp>
    <xdr:clientData/>
  </xdr:twoCellAnchor>
  <xdr:twoCellAnchor editAs="oneCell">
    <xdr:from>
      <xdr:col>17</xdr:col>
      <xdr:colOff>281940</xdr:colOff>
      <xdr:row>0</xdr:row>
      <xdr:rowOff>114300</xdr:rowOff>
    </xdr:from>
    <xdr:to>
      <xdr:col>22</xdr:col>
      <xdr:colOff>605741</xdr:colOff>
      <xdr:row>6</xdr:row>
      <xdr:rowOff>121920</xdr:rowOff>
    </xdr:to>
    <xdr:pic>
      <xdr:nvPicPr>
        <xdr:cNvPr id="11" name="Picture 10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0645140" y="114300"/>
          <a:ext cx="3371801" cy="1104900"/>
        </a:xfrm>
        <a:prstGeom prst="rect">
          <a:avLst/>
        </a:prstGeom>
      </xdr:spPr>
    </xdr:pic>
    <xdr:clientData/>
  </xdr:twoCellAnchor>
  <xdr:twoCellAnchor>
    <xdr:from>
      <xdr:col>0</xdr:col>
      <xdr:colOff>205740</xdr:colOff>
      <xdr:row>6</xdr:row>
      <xdr:rowOff>38100</xdr:rowOff>
    </xdr:from>
    <xdr:to>
      <xdr:col>5</xdr:col>
      <xdr:colOff>259080</xdr:colOff>
      <xdr:row>9</xdr:row>
      <xdr:rowOff>38100</xdr:rowOff>
    </xdr:to>
    <xdr:sp macro="" textlink="">
      <xdr:nvSpPr>
        <xdr:cNvPr id="1026" name="Text Box 2">
          <a:hlinkClick xmlns:r="http://schemas.openxmlformats.org/officeDocument/2006/relationships" r:id="rId7"/>
        </xdr:cNvPr>
        <xdr:cNvSpPr txBox="1">
          <a:spLocks noChangeArrowheads="1"/>
        </xdr:cNvSpPr>
      </xdr:nvSpPr>
      <xdr:spPr bwMode="auto">
        <a:xfrm>
          <a:off x="205740" y="1135380"/>
          <a:ext cx="3101340" cy="548640"/>
        </a:xfrm>
        <a:prstGeom prst="rect">
          <a:avLst/>
        </a:prstGeom>
        <a:solidFill>
          <a:srgbClr val="FFFFFF"/>
        </a:solidFill>
        <a:ln w="9525">
          <a:solidFill>
            <a:schemeClr val="bg1">
              <a:lumMod val="85000"/>
            </a:schemeClr>
          </a:solidFill>
          <a:miter lim="800000"/>
          <a:headEnd/>
          <a:tailEnd/>
        </a:ln>
      </xdr:spPr>
      <xdr:txBody>
        <a:bodyPr vertOverflow="clip" wrap="square" lIns="36576" tIns="32004" rIns="0" bIns="0" anchor="t" upright="1"/>
        <a:lstStyle/>
        <a:p>
          <a:pPr algn="l" rtl="0">
            <a:defRPr sz="1000"/>
          </a:pPr>
          <a:r>
            <a:rPr lang="en-GB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Instructions for using the estimator can be found on the </a:t>
          </a:r>
          <a:r>
            <a:rPr lang="en-GB" sz="1100" b="0" i="0" u="sng" strike="noStrike" baseline="0">
              <a:solidFill>
                <a:srgbClr val="0070C0"/>
              </a:solidFill>
              <a:latin typeface="Calibri"/>
              <a:cs typeface="Calibri"/>
            </a:rPr>
            <a:t>S106 Estimator webpage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601980</xdr:colOff>
      <xdr:row>1</xdr:row>
      <xdr:rowOff>22860</xdr:rowOff>
    </xdr:from>
    <xdr:to>
      <xdr:col>12</xdr:col>
      <xdr:colOff>228600</xdr:colOff>
      <xdr:row>3</xdr:row>
      <xdr:rowOff>0</xdr:rowOff>
    </xdr:to>
    <xdr:sp macro="" textlink="">
      <xdr:nvSpPr>
        <xdr:cNvPr id="2" name="Rounded Rectangle 1">
          <a:hlinkClick xmlns:r="http://schemas.openxmlformats.org/officeDocument/2006/relationships" r:id="rId1"/>
        </xdr:cNvPr>
        <xdr:cNvSpPr/>
      </xdr:nvSpPr>
      <xdr:spPr>
        <a:xfrm>
          <a:off x="7696200" y="205740"/>
          <a:ext cx="1455420" cy="342900"/>
        </a:xfrm>
        <a:prstGeom prst="roundRect">
          <a:avLst/>
        </a:prstGeom>
        <a:solidFill>
          <a:srgbClr val="FF0000"/>
        </a:solidFill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/>
            <a:t>Return to</a:t>
          </a:r>
          <a:r>
            <a:rPr lang="en-GB" sz="1100" baseline="0"/>
            <a:t> front page</a:t>
          </a:r>
          <a:endParaRPr lang="en-GB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0</xdr:rowOff>
    </xdr:from>
    <xdr:to>
      <xdr:col>9</xdr:col>
      <xdr:colOff>236220</xdr:colOff>
      <xdr:row>2</xdr:row>
      <xdr:rowOff>160020</xdr:rowOff>
    </xdr:to>
    <xdr:sp macro="" textlink="">
      <xdr:nvSpPr>
        <xdr:cNvPr id="2" name="Rounded Rectangle 1">
          <a:hlinkClick xmlns:r="http://schemas.openxmlformats.org/officeDocument/2006/relationships" r:id="rId1"/>
        </xdr:cNvPr>
        <xdr:cNvSpPr/>
      </xdr:nvSpPr>
      <xdr:spPr>
        <a:xfrm>
          <a:off x="6423660" y="182880"/>
          <a:ext cx="1455420" cy="342900"/>
        </a:xfrm>
        <a:prstGeom prst="roundRect">
          <a:avLst/>
        </a:prstGeom>
        <a:solidFill>
          <a:srgbClr val="FF0000"/>
        </a:solidFill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/>
            <a:t>Return to</a:t>
          </a:r>
          <a:r>
            <a:rPr lang="en-GB" sz="1100" baseline="0"/>
            <a:t> front page</a:t>
          </a:r>
          <a:endParaRPr lang="en-GB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</xdr:row>
      <xdr:rowOff>0</xdr:rowOff>
    </xdr:from>
    <xdr:to>
      <xdr:col>10</xdr:col>
      <xdr:colOff>236220</xdr:colOff>
      <xdr:row>2</xdr:row>
      <xdr:rowOff>160020</xdr:rowOff>
    </xdr:to>
    <xdr:sp macro="" textlink="">
      <xdr:nvSpPr>
        <xdr:cNvPr id="2" name="Rounded Rectangle 1">
          <a:hlinkClick xmlns:r="http://schemas.openxmlformats.org/officeDocument/2006/relationships" r:id="rId1"/>
        </xdr:cNvPr>
        <xdr:cNvSpPr/>
      </xdr:nvSpPr>
      <xdr:spPr>
        <a:xfrm>
          <a:off x="5882640" y="182880"/>
          <a:ext cx="1455420" cy="342900"/>
        </a:xfrm>
        <a:prstGeom prst="roundRect">
          <a:avLst/>
        </a:prstGeom>
        <a:solidFill>
          <a:srgbClr val="FF0000"/>
        </a:solidFill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/>
            <a:t>Return to</a:t>
          </a:r>
          <a:r>
            <a:rPr lang="en-GB" sz="1100" baseline="0"/>
            <a:t> front page</a:t>
          </a:r>
          <a:endParaRPr lang="en-GB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zoomScaleNormal="100" workbookViewId="0"/>
  </sheetViews>
  <sheetFormatPr defaultRowHeight="14.4" x14ac:dyDescent="0.3"/>
  <sheetData/>
  <sheetProtection sheet="1" objects="1" scenarios="1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59"/>
  <sheetViews>
    <sheetView workbookViewId="0">
      <selection activeCell="D8" sqref="D8"/>
    </sheetView>
  </sheetViews>
  <sheetFormatPr defaultRowHeight="14.4" x14ac:dyDescent="0.3"/>
  <cols>
    <col min="1" max="1" width="33.44140625" customWidth="1"/>
    <col min="2" max="2" width="19.109375" customWidth="1"/>
    <col min="3" max="3" width="12" customWidth="1"/>
    <col min="4" max="5" width="9.88671875" bestFit="1" customWidth="1"/>
    <col min="6" max="6" width="17.88671875" bestFit="1" customWidth="1"/>
  </cols>
  <sheetData>
    <row r="2" spans="1:9" x14ac:dyDescent="0.3">
      <c r="A2" t="s">
        <v>33</v>
      </c>
      <c r="B2" t="s">
        <v>34</v>
      </c>
    </row>
    <row r="4" spans="1:9" x14ac:dyDescent="0.3">
      <c r="A4" s="39" t="s">
        <v>168</v>
      </c>
      <c r="B4" s="39"/>
      <c r="C4" s="39"/>
    </row>
    <row r="5" spans="1:9" ht="15" thickBot="1" x14ac:dyDescent="0.35"/>
    <row r="6" spans="1:9" ht="15" thickBot="1" x14ac:dyDescent="0.35">
      <c r="A6" s="7"/>
      <c r="B6" s="5" t="s">
        <v>47</v>
      </c>
      <c r="C6" s="6" t="s">
        <v>36</v>
      </c>
      <c r="D6" s="6" t="s">
        <v>37</v>
      </c>
      <c r="E6" s="6" t="s">
        <v>35</v>
      </c>
      <c r="F6" s="6" t="s">
        <v>154</v>
      </c>
      <c r="G6" s="7" t="s">
        <v>6</v>
      </c>
    </row>
    <row r="7" spans="1:9" ht="15" thickBot="1" x14ac:dyDescent="0.35">
      <c r="A7" s="28" t="s">
        <v>143</v>
      </c>
      <c r="B7" s="40"/>
      <c r="C7" s="41"/>
      <c r="D7" s="41"/>
      <c r="E7" s="41"/>
      <c r="F7" s="41"/>
      <c r="G7" s="12">
        <f>SUM(B7:F7)</f>
        <v>0</v>
      </c>
    </row>
    <row r="8" spans="1:9" ht="15" thickBot="1" x14ac:dyDescent="0.35">
      <c r="A8" s="27" t="s">
        <v>144</v>
      </c>
      <c r="B8" s="42"/>
      <c r="C8" s="43"/>
      <c r="D8" s="43"/>
      <c r="E8" s="43"/>
      <c r="F8" s="43"/>
      <c r="G8" s="12">
        <f>SUM(B8:F8)</f>
        <v>0</v>
      </c>
    </row>
    <row r="9" spans="1:9" ht="15" thickBot="1" x14ac:dyDescent="0.35">
      <c r="A9" s="27" t="s">
        <v>6</v>
      </c>
      <c r="B9" s="29">
        <f>B8+B7</f>
        <v>0</v>
      </c>
      <c r="C9" s="30">
        <f t="shared" ref="C9:G9" si="0">C8+C7</f>
        <v>0</v>
      </c>
      <c r="D9" s="30">
        <f t="shared" si="0"/>
        <v>0</v>
      </c>
      <c r="E9" s="30">
        <f t="shared" si="0"/>
        <v>0</v>
      </c>
      <c r="F9" s="30">
        <f t="shared" si="0"/>
        <v>0</v>
      </c>
      <c r="G9" s="31">
        <f t="shared" si="0"/>
        <v>0</v>
      </c>
    </row>
    <row r="10" spans="1:9" s="13" customFormat="1" ht="15" thickBot="1" x14ac:dyDescent="0.35">
      <c r="A10" s="14"/>
      <c r="B10" s="14"/>
      <c r="C10" s="14"/>
      <c r="D10" s="14"/>
      <c r="E10" s="14"/>
      <c r="F10" s="14"/>
      <c r="G10" s="25"/>
      <c r="H10" s="25"/>
      <c r="I10" s="25"/>
    </row>
    <row r="11" spans="1:9" s="13" customFormat="1" ht="15" thickBot="1" x14ac:dyDescent="0.35">
      <c r="A11" s="14" t="s">
        <v>136</v>
      </c>
      <c r="B11" s="44"/>
      <c r="C11" s="14" t="s">
        <v>137</v>
      </c>
      <c r="D11" s="14" t="s">
        <v>155</v>
      </c>
      <c r="E11" s="14"/>
      <c r="F11" s="14"/>
      <c r="G11" s="25"/>
      <c r="H11" s="25"/>
      <c r="I11" s="25"/>
    </row>
    <row r="12" spans="1:9" s="13" customFormat="1" ht="15" thickBot="1" x14ac:dyDescent="0.35">
      <c r="A12" s="14"/>
      <c r="B12" s="14"/>
      <c r="C12" s="14"/>
      <c r="D12" s="14"/>
      <c r="E12" s="14"/>
      <c r="F12" s="14"/>
      <c r="G12" s="25"/>
      <c r="H12" s="25"/>
      <c r="I12" s="25"/>
    </row>
    <row r="13" spans="1:9" s="13" customFormat="1" ht="15" thickBot="1" x14ac:dyDescent="0.35">
      <c r="A13" s="14" t="s">
        <v>103</v>
      </c>
      <c r="B13" s="44"/>
      <c r="C13" s="14" t="s">
        <v>104</v>
      </c>
      <c r="D13" s="14"/>
      <c r="E13" s="14"/>
      <c r="F13" s="14"/>
      <c r="G13" s="25"/>
      <c r="H13" s="25"/>
      <c r="I13" s="25"/>
    </row>
    <row r="14" spans="1:9" x14ac:dyDescent="0.3">
      <c r="A14" s="23"/>
      <c r="C14" s="23"/>
      <c r="D14" s="23"/>
      <c r="E14" s="23"/>
      <c r="F14" s="23"/>
      <c r="G14" s="23"/>
      <c r="H14" s="23"/>
      <c r="I14" s="23"/>
    </row>
    <row r="15" spans="1:9" ht="15" thickBot="1" x14ac:dyDescent="0.35">
      <c r="A15" s="24" t="s">
        <v>171</v>
      </c>
      <c r="B15" s="1"/>
      <c r="C15" s="24"/>
      <c r="D15" s="23"/>
      <c r="E15" s="23"/>
      <c r="F15" s="23"/>
      <c r="G15" s="23"/>
      <c r="H15" s="23"/>
      <c r="I15" s="23"/>
    </row>
    <row r="16" spans="1:9" ht="15" thickBot="1" x14ac:dyDescent="0.35">
      <c r="A16" s="24" t="s">
        <v>165</v>
      </c>
      <c r="B16" s="34">
        <f>B47+B44+B36+B52+B48</f>
        <v>0</v>
      </c>
      <c r="C16" s="1" t="s">
        <v>46</v>
      </c>
    </row>
    <row r="17" spans="1:9" x14ac:dyDescent="0.3">
      <c r="A17" s="24"/>
      <c r="B17" s="38"/>
      <c r="C17" s="1"/>
    </row>
    <row r="18" spans="1:9" x14ac:dyDescent="0.3">
      <c r="A18" s="36" t="s">
        <v>170</v>
      </c>
    </row>
    <row r="19" spans="1:9" ht="15" thickBot="1" x14ac:dyDescent="0.35">
      <c r="A19" s="36"/>
    </row>
    <row r="20" spans="1:9" s="13" customFormat="1" ht="15" thickBot="1" x14ac:dyDescent="0.35">
      <c r="A20" s="14" t="s">
        <v>55</v>
      </c>
      <c r="B20" s="44"/>
      <c r="C20" s="14" t="s">
        <v>43</v>
      </c>
      <c r="D20" s="14"/>
      <c r="E20" s="14"/>
      <c r="F20" s="14"/>
      <c r="G20" s="25"/>
      <c r="H20" s="25"/>
      <c r="I20" s="25"/>
    </row>
    <row r="21" spans="1:9" ht="15" thickBot="1" x14ac:dyDescent="0.35">
      <c r="A21" s="14"/>
    </row>
    <row r="22" spans="1:9" ht="15" thickBot="1" x14ac:dyDescent="0.35">
      <c r="A22" s="14" t="s">
        <v>166</v>
      </c>
      <c r="B22" s="44"/>
    </row>
    <row r="23" spans="1:9" ht="15" thickBot="1" x14ac:dyDescent="0.35">
      <c r="A23" s="14"/>
    </row>
    <row r="24" spans="1:9" ht="15" thickBot="1" x14ac:dyDescent="0.35">
      <c r="A24" s="24" t="s">
        <v>45</v>
      </c>
      <c r="B24" s="34">
        <f>IF((B31-B22)&lt;1,B16-B36-B44+'Officer sheet'!K27,B16-(B31-'Officer sheet'!B4)*'Officer sheet'!B3/4-B44+'Officer sheet'!K27)</f>
        <v>0</v>
      </c>
      <c r="C24" s="1"/>
      <c r="F24" s="2"/>
    </row>
    <row r="25" spans="1:9" x14ac:dyDescent="0.3">
      <c r="A25" s="23"/>
    </row>
    <row r="26" spans="1:9" x14ac:dyDescent="0.3">
      <c r="A26" s="36" t="s">
        <v>162</v>
      </c>
    </row>
    <row r="27" spans="1:9" x14ac:dyDescent="0.3">
      <c r="A27" s="23"/>
    </row>
    <row r="28" spans="1:9" x14ac:dyDescent="0.3">
      <c r="A28" s="23"/>
    </row>
    <row r="29" spans="1:9" x14ac:dyDescent="0.3">
      <c r="A29" s="24" t="s">
        <v>140</v>
      </c>
    </row>
    <row r="30" spans="1:9" x14ac:dyDescent="0.3">
      <c r="A30" s="23" t="s">
        <v>38</v>
      </c>
    </row>
    <row r="31" spans="1:9" x14ac:dyDescent="0.3">
      <c r="A31" s="23" t="s">
        <v>39</v>
      </c>
      <c r="B31" s="8">
        <f>IF(inputs!G7&lt;10,0,IF(B11&gt;0.5,inputs!G7/5,IF(inputs!G7&gt;14,(inputs!G7/5),1)))</f>
        <v>0</v>
      </c>
    </row>
    <row r="32" spans="1:9" x14ac:dyDescent="0.3">
      <c r="A32" s="23" t="s">
        <v>138</v>
      </c>
      <c r="B32" s="8">
        <f>IF(B31=0,0,IF(B31=1,1,(inputs!G7/10)))</f>
        <v>0</v>
      </c>
      <c r="C32" t="s">
        <v>139</v>
      </c>
    </row>
    <row r="33" spans="1:3" x14ac:dyDescent="0.3">
      <c r="A33" s="23"/>
    </row>
    <row r="34" spans="1:3" x14ac:dyDescent="0.3">
      <c r="A34" s="23" t="s">
        <v>40</v>
      </c>
    </row>
    <row r="35" spans="1:3" x14ac:dyDescent="0.3">
      <c r="A35" s="23"/>
    </row>
    <row r="36" spans="1:3" x14ac:dyDescent="0.3">
      <c r="A36" s="23" t="s">
        <v>41</v>
      </c>
      <c r="B36" s="18">
        <f>B31*'Officer sheet'!B3/4</f>
        <v>0</v>
      </c>
      <c r="C36" t="s">
        <v>42</v>
      </c>
    </row>
    <row r="37" spans="1:3" x14ac:dyDescent="0.3">
      <c r="A37" s="23"/>
    </row>
    <row r="38" spans="1:3" x14ac:dyDescent="0.3">
      <c r="A38" s="24" t="s">
        <v>53</v>
      </c>
    </row>
    <row r="39" spans="1:3" x14ac:dyDescent="0.3">
      <c r="A39" s="23" t="s">
        <v>172</v>
      </c>
    </row>
    <row r="40" spans="1:3" x14ac:dyDescent="0.3">
      <c r="A40" s="23" t="s">
        <v>14</v>
      </c>
      <c r="B40" s="10">
        <f>IF(inputs!G7&gt;=10,'Officer sheet'!G26*'Officer sheet'!K24,0)</f>
        <v>0</v>
      </c>
      <c r="C40" t="s">
        <v>43</v>
      </c>
    </row>
    <row r="41" spans="1:3" x14ac:dyDescent="0.3">
      <c r="A41" s="23"/>
    </row>
    <row r="42" spans="1:3" x14ac:dyDescent="0.3">
      <c r="A42" s="23" t="s">
        <v>26</v>
      </c>
    </row>
    <row r="43" spans="1:3" x14ac:dyDescent="0.3">
      <c r="A43" s="23"/>
    </row>
    <row r="44" spans="1:3" x14ac:dyDescent="0.3">
      <c r="A44" s="23" t="s">
        <v>41</v>
      </c>
      <c r="B44" s="18">
        <f>B40/'Officer sheet'!K24*'Officer sheet'!F24</f>
        <v>0</v>
      </c>
      <c r="C44" t="s">
        <v>44</v>
      </c>
    </row>
    <row r="45" spans="1:3" x14ac:dyDescent="0.3">
      <c r="A45" s="23"/>
    </row>
    <row r="46" spans="1:3" x14ac:dyDescent="0.3">
      <c r="A46" s="24" t="s">
        <v>163</v>
      </c>
    </row>
    <row r="47" spans="1:3" x14ac:dyDescent="0.3">
      <c r="A47" s="23" t="s">
        <v>41</v>
      </c>
      <c r="B47" s="18">
        <f>'Officer sheet'!G14</f>
        <v>0</v>
      </c>
      <c r="C47" t="s">
        <v>157</v>
      </c>
    </row>
    <row r="48" spans="1:3" x14ac:dyDescent="0.3">
      <c r="A48" s="23" t="s">
        <v>41</v>
      </c>
      <c r="B48" s="18">
        <f>'Officer sheet'!G15</f>
        <v>0</v>
      </c>
      <c r="C48" t="s">
        <v>158</v>
      </c>
    </row>
    <row r="49" spans="1:4" x14ac:dyDescent="0.3">
      <c r="A49" s="23"/>
    </row>
    <row r="50" spans="1:4" x14ac:dyDescent="0.3">
      <c r="A50" s="24" t="s">
        <v>102</v>
      </c>
      <c r="D50" s="1"/>
    </row>
    <row r="51" spans="1:4" x14ac:dyDescent="0.3">
      <c r="A51" s="23"/>
      <c r="D51" s="1"/>
    </row>
    <row r="52" spans="1:4" x14ac:dyDescent="0.3">
      <c r="A52" s="23" t="s">
        <v>41</v>
      </c>
      <c r="B52" s="18">
        <f>IF(B13&lt;1,0,'Officer sheet'!D91)</f>
        <v>0</v>
      </c>
      <c r="C52" t="s">
        <v>106</v>
      </c>
    </row>
    <row r="53" spans="1:4" x14ac:dyDescent="0.3">
      <c r="A53" s="23"/>
    </row>
    <row r="54" spans="1:4" x14ac:dyDescent="0.3">
      <c r="A54" s="23"/>
    </row>
    <row r="55" spans="1:4" x14ac:dyDescent="0.3">
      <c r="A55" s="23"/>
    </row>
    <row r="56" spans="1:4" x14ac:dyDescent="0.3">
      <c r="A56" s="23" t="s">
        <v>142</v>
      </c>
    </row>
    <row r="57" spans="1:4" x14ac:dyDescent="0.3">
      <c r="A57" s="26" t="s">
        <v>141</v>
      </c>
    </row>
    <row r="58" spans="1:4" x14ac:dyDescent="0.3">
      <c r="A58" t="s">
        <v>164</v>
      </c>
    </row>
    <row r="59" spans="1:4" x14ac:dyDescent="0.3">
      <c r="A59" t="s">
        <v>173</v>
      </c>
    </row>
  </sheetData>
  <sheetProtection sheet="1" selectLockedCells="1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30"/>
  <sheetViews>
    <sheetView workbookViewId="0">
      <selection activeCell="B6" sqref="B6"/>
    </sheetView>
  </sheetViews>
  <sheetFormatPr defaultRowHeight="14.4" x14ac:dyDescent="0.3"/>
  <cols>
    <col min="1" max="1" width="25.44140625" customWidth="1"/>
    <col min="2" max="2" width="10" customWidth="1"/>
    <col min="3" max="3" width="26.5546875" customWidth="1"/>
  </cols>
  <sheetData>
    <row r="2" spans="1:3" x14ac:dyDescent="0.3">
      <c r="A2" t="s">
        <v>33</v>
      </c>
      <c r="B2" t="s">
        <v>135</v>
      </c>
    </row>
    <row r="4" spans="1:3" x14ac:dyDescent="0.3">
      <c r="A4" s="39" t="s">
        <v>167</v>
      </c>
      <c r="B4" s="39"/>
      <c r="C4" s="39"/>
    </row>
    <row r="5" spans="1:3" ht="15" thickBot="1" x14ac:dyDescent="0.35"/>
    <row r="6" spans="1:3" ht="15" thickBot="1" x14ac:dyDescent="0.35">
      <c r="A6" t="s">
        <v>11</v>
      </c>
      <c r="B6" s="44"/>
    </row>
    <row r="7" spans="1:3" ht="15" thickBot="1" x14ac:dyDescent="0.35">
      <c r="B7" s="14"/>
    </row>
    <row r="8" spans="1:3" ht="15" thickBot="1" x14ac:dyDescent="0.35">
      <c r="A8" s="14" t="s">
        <v>55</v>
      </c>
      <c r="B8" s="44"/>
      <c r="C8" s="14" t="s">
        <v>43</v>
      </c>
    </row>
    <row r="9" spans="1:3" ht="15" thickBot="1" x14ac:dyDescent="0.35">
      <c r="B9" s="23"/>
    </row>
    <row r="10" spans="1:3" ht="15" thickBot="1" x14ac:dyDescent="0.35">
      <c r="A10" t="s">
        <v>105</v>
      </c>
      <c r="B10" s="44"/>
      <c r="C10" t="s">
        <v>104</v>
      </c>
    </row>
    <row r="11" spans="1:3" ht="15" thickBot="1" x14ac:dyDescent="0.35"/>
    <row r="12" spans="1:3" ht="15" thickBot="1" x14ac:dyDescent="0.35">
      <c r="A12" s="1" t="s">
        <v>165</v>
      </c>
      <c r="B12" s="35">
        <f>B26+B30+B17</f>
        <v>0</v>
      </c>
      <c r="C12" s="1" t="s">
        <v>46</v>
      </c>
    </row>
    <row r="14" spans="1:3" x14ac:dyDescent="0.3">
      <c r="A14" s="1" t="s">
        <v>54</v>
      </c>
    </row>
    <row r="16" spans="1:3" x14ac:dyDescent="0.3">
      <c r="A16" t="s">
        <v>48</v>
      </c>
    </row>
    <row r="17" spans="1:3" x14ac:dyDescent="0.3">
      <c r="A17" t="s">
        <v>49</v>
      </c>
      <c r="B17" s="9">
        <f>IF(inputs!B12&lt;50,0,IF(inputs!B12&gt;75,inputs!B12/5*0.2*'Officer sheet'!B3/4,inputs!B12/5*0.1*'Officer sheet'!B3/4))</f>
        <v>0</v>
      </c>
      <c r="C17" t="s">
        <v>42</v>
      </c>
    </row>
    <row r="19" spans="1:3" x14ac:dyDescent="0.3">
      <c r="A19" s="1" t="s">
        <v>53</v>
      </c>
    </row>
    <row r="21" spans="1:3" x14ac:dyDescent="0.3">
      <c r="A21" t="s">
        <v>56</v>
      </c>
    </row>
    <row r="22" spans="1:3" x14ac:dyDescent="0.3">
      <c r="A22" t="s">
        <v>14</v>
      </c>
      <c r="B22" s="11">
        <f>IF(inputs!B12&gt;=10,inputs!B12*24,0)-B8</f>
        <v>0</v>
      </c>
      <c r="C22" t="s">
        <v>43</v>
      </c>
    </row>
    <row r="24" spans="1:3" x14ac:dyDescent="0.3">
      <c r="A24" t="s">
        <v>26</v>
      </c>
    </row>
    <row r="26" spans="1:3" x14ac:dyDescent="0.3">
      <c r="A26" t="s">
        <v>49</v>
      </c>
      <c r="B26" s="9">
        <f>IF(B22&lt;=0,0,B22/'Officer sheet'!K24*'Officer sheet'!F24)</f>
        <v>0</v>
      </c>
      <c r="C26" t="s">
        <v>44</v>
      </c>
    </row>
    <row r="28" spans="1:3" x14ac:dyDescent="0.3">
      <c r="A28" s="1" t="s">
        <v>102</v>
      </c>
    </row>
    <row r="30" spans="1:3" x14ac:dyDescent="0.3">
      <c r="A30" t="s">
        <v>41</v>
      </c>
      <c r="B30" s="9">
        <f>IF(B10&lt;1,0,'Officer sheet'!E91)</f>
        <v>0</v>
      </c>
      <c r="C30" t="s">
        <v>106</v>
      </c>
    </row>
  </sheetData>
  <sheetProtection sheet="1" selectLockedCells="1"/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38"/>
  <sheetViews>
    <sheetView workbookViewId="0">
      <selection activeCell="B17" sqref="B17"/>
    </sheetView>
  </sheetViews>
  <sheetFormatPr defaultRowHeight="14.4" x14ac:dyDescent="0.3"/>
  <cols>
    <col min="1" max="1" width="37.6640625" customWidth="1"/>
    <col min="2" max="2" width="33.109375" customWidth="1"/>
    <col min="3" max="3" width="4" customWidth="1"/>
  </cols>
  <sheetData>
    <row r="2" spans="1:4" x14ac:dyDescent="0.3">
      <c r="A2" t="s">
        <v>33</v>
      </c>
      <c r="B2" t="s">
        <v>50</v>
      </c>
    </row>
    <row r="4" spans="1:4" x14ac:dyDescent="0.3">
      <c r="A4" s="39" t="s">
        <v>167</v>
      </c>
      <c r="B4" s="39"/>
    </row>
    <row r="5" spans="1:4" ht="15" thickBot="1" x14ac:dyDescent="0.35"/>
    <row r="6" spans="1:4" ht="15" thickBot="1" x14ac:dyDescent="0.35">
      <c r="A6" s="23" t="s">
        <v>51</v>
      </c>
      <c r="B6" s="45"/>
      <c r="D6" s="23" t="s">
        <v>116</v>
      </c>
    </row>
    <row r="7" spans="1:4" ht="15" thickBot="1" x14ac:dyDescent="0.35">
      <c r="A7" s="23" t="s">
        <v>59</v>
      </c>
      <c r="B7" s="45"/>
      <c r="C7" s="23"/>
    </row>
    <row r="8" spans="1:4" ht="15" thickBot="1" x14ac:dyDescent="0.35">
      <c r="A8" s="23"/>
      <c r="C8" s="23"/>
    </row>
    <row r="9" spans="1:4" ht="15" thickBot="1" x14ac:dyDescent="0.35">
      <c r="A9" s="14" t="s">
        <v>112</v>
      </c>
      <c r="B9" s="44"/>
      <c r="C9" s="14"/>
    </row>
    <row r="10" spans="1:4" ht="15" thickBot="1" x14ac:dyDescent="0.35">
      <c r="A10" s="23"/>
      <c r="C10" s="23"/>
    </row>
    <row r="11" spans="1:4" ht="15" thickBot="1" x14ac:dyDescent="0.35">
      <c r="A11" s="23" t="s">
        <v>52</v>
      </c>
      <c r="B11" s="44"/>
      <c r="C11" s="25" t="s">
        <v>43</v>
      </c>
    </row>
    <row r="12" spans="1:4" ht="15" thickBot="1" x14ac:dyDescent="0.35">
      <c r="A12" s="23"/>
      <c r="C12" s="23"/>
    </row>
    <row r="13" spans="1:4" ht="15" thickBot="1" x14ac:dyDescent="0.35">
      <c r="A13" s="14" t="s">
        <v>55</v>
      </c>
      <c r="B13" s="44"/>
      <c r="C13" s="14" t="s">
        <v>43</v>
      </c>
    </row>
    <row r="14" spans="1:4" ht="15" thickBot="1" x14ac:dyDescent="0.35">
      <c r="A14" s="14"/>
      <c r="B14" s="14"/>
      <c r="C14" s="14"/>
    </row>
    <row r="15" spans="1:4" ht="15" thickBot="1" x14ac:dyDescent="0.35">
      <c r="A15" s="14" t="s">
        <v>103</v>
      </c>
      <c r="B15" s="44"/>
      <c r="C15" s="14" t="s">
        <v>104</v>
      </c>
    </row>
    <row r="16" spans="1:4" ht="15" thickBot="1" x14ac:dyDescent="0.35">
      <c r="A16" s="14"/>
      <c r="B16" s="14"/>
      <c r="C16" s="14"/>
    </row>
    <row r="17" spans="1:3" ht="15" thickBot="1" x14ac:dyDescent="0.35">
      <c r="A17" s="23" t="s">
        <v>128</v>
      </c>
      <c r="B17" s="44"/>
      <c r="C17" s="23" t="s">
        <v>129</v>
      </c>
    </row>
    <row r="18" spans="1:3" ht="15" thickBot="1" x14ac:dyDescent="0.35">
      <c r="A18" s="23"/>
      <c r="C18" s="23"/>
    </row>
    <row r="19" spans="1:3" ht="15" thickBot="1" x14ac:dyDescent="0.35">
      <c r="A19" s="24" t="s">
        <v>165</v>
      </c>
      <c r="B19" s="34">
        <f>B29+B34+B38</f>
        <v>0</v>
      </c>
      <c r="C19" s="24" t="s">
        <v>46</v>
      </c>
    </row>
    <row r="20" spans="1:3" x14ac:dyDescent="0.3">
      <c r="A20" s="23"/>
      <c r="C20" s="23"/>
    </row>
    <row r="21" spans="1:3" x14ac:dyDescent="0.3">
      <c r="A21" s="36" t="s">
        <v>162</v>
      </c>
      <c r="C21" s="23"/>
    </row>
    <row r="22" spans="1:3" x14ac:dyDescent="0.3">
      <c r="A22" s="23"/>
      <c r="C22" s="23"/>
    </row>
    <row r="23" spans="1:3" x14ac:dyDescent="0.3">
      <c r="A23" s="1" t="s">
        <v>53</v>
      </c>
      <c r="B23" t="s">
        <v>156</v>
      </c>
    </row>
    <row r="24" spans="1:3" x14ac:dyDescent="0.3">
      <c r="A24" t="s">
        <v>56</v>
      </c>
    </row>
    <row r="25" spans="1:3" x14ac:dyDescent="0.3">
      <c r="A25" t="s">
        <v>14</v>
      </c>
      <c r="B25" s="11">
        <f>IF(AND(inputs!B18="B1a",inputs!B19&gt;=1000),inputs!B19/('Officer sheet'!C31)*('Officer sheet'!E31),IF(AND(inputs!B18="B1b",inputs!B19&gt;=1000),inputs!B19/('Officer sheet'!C32)*('Officer sheet'!E32),0))-B13</f>
        <v>0</v>
      </c>
      <c r="C25" t="s">
        <v>43</v>
      </c>
    </row>
    <row r="27" spans="1:3" x14ac:dyDescent="0.3">
      <c r="A27" t="s">
        <v>26</v>
      </c>
    </row>
    <row r="29" spans="1:3" x14ac:dyDescent="0.3">
      <c r="A29" t="s">
        <v>49</v>
      </c>
      <c r="B29" s="18">
        <f>IF(B25&lt;=0,0,B25/'Officer sheet'!K24*'Officer sheet'!F24)</f>
        <v>0</v>
      </c>
      <c r="C29" t="s">
        <v>44</v>
      </c>
    </row>
    <row r="32" spans="1:3" x14ac:dyDescent="0.3">
      <c r="A32" s="1" t="s">
        <v>102</v>
      </c>
    </row>
    <row r="34" spans="1:3" x14ac:dyDescent="0.3">
      <c r="A34" t="s">
        <v>41</v>
      </c>
      <c r="B34" s="18">
        <f>IF($B$15&lt;1,0,'Officer sheet'!F91)</f>
        <v>0</v>
      </c>
      <c r="C34" t="s">
        <v>106</v>
      </c>
    </row>
    <row r="36" spans="1:3" x14ac:dyDescent="0.3">
      <c r="A36" s="1" t="s">
        <v>109</v>
      </c>
    </row>
    <row r="38" spans="1:3" x14ac:dyDescent="0.3">
      <c r="A38" t="s">
        <v>41</v>
      </c>
      <c r="B38" s="18">
        <f>IF(B15&lt;1,0,'Operational proportions'!D9)</f>
        <v>0</v>
      </c>
      <c r="C38" t="s">
        <v>115</v>
      </c>
    </row>
  </sheetData>
  <sheetProtection sheet="1" selectLockedCells="1"/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'Officer sheet'!$A$31:$A$34</xm:f>
          </x14:formula1>
          <xm:sqref>B6</xm:sqref>
        </x14:dataValidation>
        <x14:dataValidation type="list" allowBlank="1" showInputMessage="1" showErrorMessage="1">
          <x14:formula1>
            <xm:f>IF($B$6="B1a",'Officer sheet'!$B$47:$B$52,IF($B$6="B1b",'Officer sheet'!$B$53,IF($B$6="C1",'Officer sheet'!$B$54:$B$57,'Officer sheet'!$B$58:$B$81)))</xm:f>
          </x14:formula1>
          <xm:sqref>B7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9"/>
  <sheetViews>
    <sheetView workbookViewId="0">
      <selection activeCell="B5" sqref="B5"/>
    </sheetView>
  </sheetViews>
  <sheetFormatPr defaultRowHeight="14.4" x14ac:dyDescent="0.3"/>
  <cols>
    <col min="1" max="1" width="26" bestFit="1" customWidth="1"/>
    <col min="2" max="2" width="9.6640625" bestFit="1" customWidth="1"/>
  </cols>
  <sheetData>
    <row r="3" spans="1:4" x14ac:dyDescent="0.3">
      <c r="A3" s="1" t="s">
        <v>127</v>
      </c>
      <c r="D3" t="s">
        <v>132</v>
      </c>
    </row>
    <row r="4" spans="1:4" x14ac:dyDescent="0.3">
      <c r="B4" t="s">
        <v>133</v>
      </c>
      <c r="C4" t="s">
        <v>114</v>
      </c>
      <c r="D4" t="e">
        <f>ROUNDUP(IF(Commercial!B17=0,IF(Commercial!B6="C1",Commercial!B9*VLOOKUP(Commercial!$B$7,'Officer sheet'!$B$54:$C$57,2,FALSE),Commercial!B11/VLOOKUP(Commercial!B7,'Officer sheet'!$B$47:$C$81,2,FALSE)),Commercial!B17),0)</f>
        <v>#N/A</v>
      </c>
    </row>
    <row r="5" spans="1:4" x14ac:dyDescent="0.3">
      <c r="A5" t="s">
        <v>120</v>
      </c>
      <c r="B5" s="20">
        <v>50</v>
      </c>
      <c r="C5" s="20">
        <v>392</v>
      </c>
      <c r="D5" t="e">
        <f>ROUNDUP($D$4/100*B5,0)*C5</f>
        <v>#N/A</v>
      </c>
    </row>
    <row r="6" spans="1:4" x14ac:dyDescent="0.3">
      <c r="A6" t="s">
        <v>134</v>
      </c>
      <c r="B6" s="20">
        <v>5</v>
      </c>
      <c r="C6" s="20">
        <v>600</v>
      </c>
      <c r="D6" t="e">
        <f>(ROUNDUP($D$4/100*B6,0)*C6)*3/2</f>
        <v>#N/A</v>
      </c>
    </row>
    <row r="7" spans="1:4" x14ac:dyDescent="0.3">
      <c r="A7" t="s">
        <v>122</v>
      </c>
      <c r="B7" s="20">
        <v>20</v>
      </c>
      <c r="C7" s="20">
        <v>600</v>
      </c>
      <c r="D7" t="e">
        <f>ROUNDUP($D$4/100*B7,0)*C7</f>
        <v>#N/A</v>
      </c>
    </row>
    <row r="8" spans="1:4" x14ac:dyDescent="0.3">
      <c r="A8" t="s">
        <v>123</v>
      </c>
      <c r="B8" s="20">
        <v>10</v>
      </c>
      <c r="C8" s="20">
        <v>300</v>
      </c>
      <c r="D8" t="e">
        <f>ROUNDUP($D$4/100*B8,0)*C8</f>
        <v>#N/A</v>
      </c>
    </row>
    <row r="9" spans="1:4" x14ac:dyDescent="0.3">
      <c r="D9" t="e">
        <f>SUM(D5:D8)</f>
        <v>#N/A</v>
      </c>
    </row>
  </sheetData>
  <sheetProtection selectLockedCells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91"/>
  <sheetViews>
    <sheetView workbookViewId="0">
      <selection activeCell="C14" sqref="C14"/>
    </sheetView>
  </sheetViews>
  <sheetFormatPr defaultRowHeight="14.4" x14ac:dyDescent="0.3"/>
  <cols>
    <col min="1" max="1" width="35.88671875" bestFit="1" customWidth="1"/>
    <col min="2" max="2" width="43" customWidth="1"/>
    <col min="3" max="3" width="14.44140625" customWidth="1"/>
    <col min="4" max="4" width="52.109375" customWidth="1"/>
    <col min="6" max="6" width="10" bestFit="1" customWidth="1"/>
    <col min="7" max="7" width="14.6640625" customWidth="1"/>
  </cols>
  <sheetData>
    <row r="2" spans="1:7" x14ac:dyDescent="0.3">
      <c r="A2" s="1" t="s">
        <v>54</v>
      </c>
    </row>
    <row r="3" spans="1:7" ht="15" thickBot="1" x14ac:dyDescent="0.35">
      <c r="A3" t="s">
        <v>7</v>
      </c>
      <c r="B3" s="20">
        <v>175508</v>
      </c>
    </row>
    <row r="4" spans="1:7" ht="15" thickBot="1" x14ac:dyDescent="0.35">
      <c r="A4" t="s">
        <v>169</v>
      </c>
      <c r="B4" s="37">
        <f>IF('Residential - non student'!B31-'Residential - non student'!B22&lt;0,0,'Residential - non student'!B31-'Residential - non student'!B22)</f>
        <v>0</v>
      </c>
    </row>
    <row r="5" spans="1:7" x14ac:dyDescent="0.3">
      <c r="B5" s="46"/>
    </row>
    <row r="6" spans="1:7" hidden="1" x14ac:dyDescent="0.3">
      <c r="A6" s="1" t="s">
        <v>145</v>
      </c>
    </row>
    <row r="7" spans="1:7" hidden="1" x14ac:dyDescent="0.3">
      <c r="B7" s="1" t="s">
        <v>2</v>
      </c>
      <c r="C7" s="1" t="s">
        <v>8</v>
      </c>
      <c r="D7" s="1" t="s">
        <v>4</v>
      </c>
      <c r="E7" s="1" t="s">
        <v>5</v>
      </c>
      <c r="F7" s="1" t="s">
        <v>13</v>
      </c>
    </row>
    <row r="8" spans="1:7" hidden="1" x14ac:dyDescent="0.3">
      <c r="A8" t="s">
        <v>15</v>
      </c>
      <c r="B8" s="19">
        <v>421.22</v>
      </c>
      <c r="C8" s="19">
        <v>928.04</v>
      </c>
      <c r="D8" s="19">
        <v>1434.6</v>
      </c>
      <c r="E8" s="19">
        <v>1941</v>
      </c>
      <c r="F8" s="19">
        <v>1941</v>
      </c>
    </row>
    <row r="9" spans="1:7" hidden="1" x14ac:dyDescent="0.3">
      <c r="A9" t="s">
        <v>16</v>
      </c>
      <c r="B9" s="2">
        <f>B8*inputs!B7</f>
        <v>0</v>
      </c>
      <c r="C9" s="2">
        <f>C8*inputs!C7</f>
        <v>0</v>
      </c>
      <c r="D9" s="2">
        <f>D8*inputs!D7</f>
        <v>0</v>
      </c>
      <c r="E9" s="2">
        <f>E8*inputs!$E$7</f>
        <v>0</v>
      </c>
      <c r="F9" s="2">
        <f>F8*inputs!$F$7</f>
        <v>0</v>
      </c>
      <c r="G9" s="2">
        <f>SUM(B9:F9)</f>
        <v>0</v>
      </c>
    </row>
    <row r="10" spans="1:7" x14ac:dyDescent="0.3">
      <c r="B10" s="2"/>
      <c r="C10" s="2"/>
      <c r="D10" s="2"/>
      <c r="E10" s="2"/>
      <c r="F10" s="2"/>
      <c r="G10" s="2"/>
    </row>
    <row r="11" spans="1:7" x14ac:dyDescent="0.3">
      <c r="A11" s="1" t="s">
        <v>146</v>
      </c>
      <c r="B11" s="2"/>
      <c r="C11" s="2"/>
      <c r="D11" s="2"/>
      <c r="E11" s="2"/>
      <c r="F11" s="2"/>
      <c r="G11" s="2"/>
    </row>
    <row r="12" spans="1:7" x14ac:dyDescent="0.3">
      <c r="A12" s="1"/>
      <c r="B12" s="2"/>
      <c r="C12" s="2" t="s">
        <v>152</v>
      </c>
      <c r="D12" s="2" t="s">
        <v>153</v>
      </c>
      <c r="E12" s="2"/>
      <c r="F12" s="2"/>
      <c r="G12" s="2"/>
    </row>
    <row r="13" spans="1:7" x14ac:dyDescent="0.3">
      <c r="A13" s="1" t="s">
        <v>159</v>
      </c>
      <c r="B13" s="4">
        <f>SUM('Residential - non student'!$C$7:$E$7)+SUM('Residential - non student'!$D$8:$F$8)</f>
        <v>0</v>
      </c>
      <c r="C13" s="2">
        <f>B13*$C$17*$B$17</f>
        <v>0</v>
      </c>
      <c r="D13" s="2">
        <f>C13*(1+$E$17)</f>
        <v>0</v>
      </c>
      <c r="E13" s="2"/>
      <c r="F13" s="2"/>
      <c r="G13" s="2"/>
    </row>
    <row r="14" spans="1:7" x14ac:dyDescent="0.3">
      <c r="A14" s="1" t="s">
        <v>161</v>
      </c>
      <c r="B14" s="4">
        <f>'Residential - non student'!C8</f>
        <v>0</v>
      </c>
      <c r="C14" s="2">
        <f>B14*B17*D17</f>
        <v>0</v>
      </c>
      <c r="D14" s="2">
        <f>C14*(1+E17)</f>
        <v>0</v>
      </c>
      <c r="E14" s="2"/>
      <c r="F14" s="2"/>
      <c r="G14" s="2">
        <f>D13+D14</f>
        <v>0</v>
      </c>
    </row>
    <row r="15" spans="1:7" x14ac:dyDescent="0.3">
      <c r="A15" s="1" t="s">
        <v>160</v>
      </c>
      <c r="B15" s="4">
        <f>SUM('Residential - non student'!$C$7:$E$7)+SUM('Residential - non student'!$D$8:$F$8)</f>
        <v>0</v>
      </c>
      <c r="C15" s="2">
        <f>B15*$C$18*$B$18</f>
        <v>0</v>
      </c>
      <c r="D15" s="2">
        <f>C15*(1+$E$17)</f>
        <v>0</v>
      </c>
      <c r="E15" s="2"/>
      <c r="F15" s="2"/>
      <c r="G15" s="2">
        <f>C15</f>
        <v>0</v>
      </c>
    </row>
    <row r="16" spans="1:7" x14ac:dyDescent="0.3">
      <c r="A16" s="1"/>
      <c r="B16" s="2" t="s">
        <v>114</v>
      </c>
      <c r="C16" s="2" t="s">
        <v>150</v>
      </c>
      <c r="D16" s="2" t="s">
        <v>151</v>
      </c>
      <c r="E16" s="2" t="s">
        <v>149</v>
      </c>
      <c r="F16" s="2"/>
      <c r="G16" s="2"/>
    </row>
    <row r="17" spans="1:11" x14ac:dyDescent="0.3">
      <c r="A17" s="1" t="s">
        <v>147</v>
      </c>
      <c r="B17" s="19">
        <v>14189</v>
      </c>
      <c r="C17" s="32">
        <v>0.21</v>
      </c>
      <c r="D17" s="32">
        <v>7.0000000000000007E-2</v>
      </c>
      <c r="E17" s="33">
        <v>7.4999999999999997E-2</v>
      </c>
      <c r="F17" s="2"/>
      <c r="G17" s="2"/>
    </row>
    <row r="18" spans="1:11" x14ac:dyDescent="0.3">
      <c r="A18" s="1" t="s">
        <v>148</v>
      </c>
      <c r="B18" s="19">
        <v>15239</v>
      </c>
      <c r="C18" s="32">
        <v>0.15</v>
      </c>
      <c r="D18" s="32"/>
      <c r="E18" s="19"/>
      <c r="F18" s="2"/>
      <c r="G18" s="2"/>
    </row>
    <row r="19" spans="1:11" x14ac:dyDescent="0.3">
      <c r="B19" s="2"/>
      <c r="C19" s="2"/>
      <c r="D19" s="2"/>
      <c r="E19" s="2"/>
      <c r="F19" s="2"/>
      <c r="G19" s="2"/>
    </row>
    <row r="20" spans="1:11" x14ac:dyDescent="0.3">
      <c r="B20" s="2"/>
      <c r="C20" s="2"/>
      <c r="D20" s="2"/>
      <c r="E20" s="2"/>
      <c r="F20" s="2"/>
      <c r="G20" s="2"/>
    </row>
    <row r="22" spans="1:11" x14ac:dyDescent="0.3">
      <c r="A22" s="1" t="s">
        <v>131</v>
      </c>
    </row>
    <row r="23" spans="1:11" x14ac:dyDescent="0.3">
      <c r="B23" s="1" t="s">
        <v>2</v>
      </c>
      <c r="C23" s="1" t="s">
        <v>8</v>
      </c>
      <c r="D23" s="1" t="s">
        <v>4</v>
      </c>
      <c r="E23" s="1" t="s">
        <v>5</v>
      </c>
      <c r="F23" s="1" t="s">
        <v>13</v>
      </c>
      <c r="J23" t="s">
        <v>30</v>
      </c>
      <c r="K23" t="s">
        <v>31</v>
      </c>
    </row>
    <row r="24" spans="1:11" x14ac:dyDescent="0.3">
      <c r="A24" t="s">
        <v>18</v>
      </c>
      <c r="B24" s="47">
        <v>1030.5694029166577</v>
      </c>
      <c r="C24" s="47">
        <v>1030.5694029166577</v>
      </c>
      <c r="D24" s="47">
        <v>1030.5694029166577</v>
      </c>
      <c r="E24" s="47">
        <v>1030.5694029166577</v>
      </c>
      <c r="F24" s="47">
        <v>1030.5694029166577</v>
      </c>
      <c r="J24" s="20">
        <v>2.4</v>
      </c>
      <c r="K24">
        <f>J24*10000/1000</f>
        <v>24</v>
      </c>
    </row>
    <row r="25" spans="1:11" x14ac:dyDescent="0.3">
      <c r="A25" t="s">
        <v>17</v>
      </c>
      <c r="B25" s="20">
        <v>1.3</v>
      </c>
      <c r="C25" s="20">
        <v>1.88</v>
      </c>
      <c r="D25" s="20">
        <v>2.57</v>
      </c>
      <c r="E25" s="20">
        <v>3.3</v>
      </c>
      <c r="F25" s="20">
        <v>4.2</v>
      </c>
    </row>
    <row r="26" spans="1:11" x14ac:dyDescent="0.3">
      <c r="A26" t="s">
        <v>27</v>
      </c>
      <c r="B26">
        <f>B25*inputs!B7</f>
        <v>0</v>
      </c>
      <c r="C26">
        <f>C25*inputs!C7</f>
        <v>0</v>
      </c>
      <c r="D26">
        <f>D25*inputs!D7</f>
        <v>0</v>
      </c>
      <c r="E26">
        <f>E25*inputs!E7</f>
        <v>0</v>
      </c>
      <c r="F26">
        <f>F25*inputs!F7</f>
        <v>0</v>
      </c>
      <c r="G26" s="3">
        <f>SUM(B26:F26)</f>
        <v>0</v>
      </c>
    </row>
    <row r="27" spans="1:11" x14ac:dyDescent="0.3">
      <c r="A27" t="s">
        <v>16</v>
      </c>
      <c r="B27" s="3">
        <f>B26*B24</f>
        <v>0</v>
      </c>
      <c r="C27" s="3">
        <f t="shared" ref="C27:F27" si="0">C26*C24</f>
        <v>0</v>
      </c>
      <c r="D27" s="3">
        <f t="shared" si="0"/>
        <v>0</v>
      </c>
      <c r="E27" s="3">
        <f t="shared" si="0"/>
        <v>0</v>
      </c>
      <c r="F27" s="3">
        <f t="shared" si="0"/>
        <v>0</v>
      </c>
      <c r="G27" s="3">
        <f>SUM(B27:F27)</f>
        <v>0</v>
      </c>
      <c r="J27">
        <f>IF('Residential - non student'!B40-'Residential - non student'!B20&lt;=0,0,'Residential - non student'!B40-'Residential - non student'!B20)</f>
        <v>0</v>
      </c>
      <c r="K27">
        <f>J27/K24*F24</f>
        <v>0</v>
      </c>
    </row>
    <row r="29" spans="1:11" x14ac:dyDescent="0.3">
      <c r="A29" s="1" t="s">
        <v>118</v>
      </c>
      <c r="C29" s="48" t="s">
        <v>57</v>
      </c>
      <c r="D29" s="48"/>
      <c r="E29" s="48"/>
      <c r="F29" s="48" t="s">
        <v>58</v>
      </c>
      <c r="G29" s="48"/>
      <c r="H29" s="48"/>
    </row>
    <row r="30" spans="1:11" x14ac:dyDescent="0.3">
      <c r="C30" t="s">
        <v>25</v>
      </c>
      <c r="D30" t="s">
        <v>32</v>
      </c>
      <c r="E30" t="s">
        <v>25</v>
      </c>
    </row>
    <row r="31" spans="1:11" x14ac:dyDescent="0.3">
      <c r="A31" t="s">
        <v>20</v>
      </c>
      <c r="B31" t="s">
        <v>22</v>
      </c>
      <c r="C31" s="20">
        <v>12</v>
      </c>
      <c r="D31">
        <f>D24*0.51*0.5</f>
        <v>262.79519774374774</v>
      </c>
      <c r="E31">
        <f>$K$24*0.51*0.5</f>
        <v>6.12</v>
      </c>
    </row>
    <row r="32" spans="1:11" x14ac:dyDescent="0.3">
      <c r="A32" t="s">
        <v>21</v>
      </c>
      <c r="B32" t="s">
        <v>23</v>
      </c>
      <c r="C32" s="20">
        <v>50</v>
      </c>
      <c r="D32">
        <f>B24*0.51*0.5</f>
        <v>262.79519774374774</v>
      </c>
      <c r="E32">
        <f>$K$24*0.51*0.5</f>
        <v>6.12</v>
      </c>
    </row>
    <row r="33" spans="1:5" x14ac:dyDescent="0.3">
      <c r="A33" t="s">
        <v>110</v>
      </c>
      <c r="B33" t="s">
        <v>111</v>
      </c>
    </row>
    <row r="34" spans="1:5" x14ac:dyDescent="0.3">
      <c r="A34" t="s">
        <v>29</v>
      </c>
    </row>
    <row r="36" spans="1:5" x14ac:dyDescent="0.3">
      <c r="A36" s="1" t="s">
        <v>119</v>
      </c>
    </row>
    <row r="37" spans="1:5" ht="15" thickBot="1" x14ac:dyDescent="0.35">
      <c r="A37" t="s">
        <v>117</v>
      </c>
    </row>
    <row r="38" spans="1:5" ht="15" thickBot="1" x14ac:dyDescent="0.35">
      <c r="A38" s="15" t="s">
        <v>96</v>
      </c>
      <c r="B38" s="16" t="s">
        <v>97</v>
      </c>
    </row>
    <row r="39" spans="1:5" ht="15" thickBot="1" x14ac:dyDescent="0.35">
      <c r="A39" s="17" t="s">
        <v>98</v>
      </c>
      <c r="B39" s="21">
        <v>7.1</v>
      </c>
    </row>
    <row r="40" spans="1:5" ht="29.4" thickBot="1" x14ac:dyDescent="0.35">
      <c r="A40" s="17" t="s">
        <v>99</v>
      </c>
      <c r="B40" s="21">
        <v>9.4</v>
      </c>
    </row>
    <row r="41" spans="1:5" ht="15" thickBot="1" x14ac:dyDescent="0.35">
      <c r="A41" s="17" t="s">
        <v>100</v>
      </c>
      <c r="B41" s="21">
        <v>11.9</v>
      </c>
    </row>
    <row r="42" spans="1:5" ht="15" thickBot="1" x14ac:dyDescent="0.35">
      <c r="A42" s="17" t="s">
        <v>101</v>
      </c>
      <c r="B42" s="21">
        <v>12.7</v>
      </c>
    </row>
    <row r="46" spans="1:5" x14ac:dyDescent="0.3">
      <c r="C46" t="s">
        <v>107</v>
      </c>
      <c r="E46" t="s">
        <v>108</v>
      </c>
    </row>
    <row r="47" spans="1:5" ht="15" thickBot="1" x14ac:dyDescent="0.35">
      <c r="A47" t="s">
        <v>60</v>
      </c>
      <c r="B47" t="s">
        <v>61</v>
      </c>
      <c r="C47" s="20">
        <v>13</v>
      </c>
      <c r="D47" s="17" t="s">
        <v>99</v>
      </c>
      <c r="E47">
        <f>VLOOKUP(D47,$A$39:$B$41,2,FALSE)</f>
        <v>9.4</v>
      </c>
    </row>
    <row r="48" spans="1:5" ht="15" thickBot="1" x14ac:dyDescent="0.35">
      <c r="B48" t="s">
        <v>62</v>
      </c>
      <c r="C48" s="20">
        <v>12</v>
      </c>
      <c r="D48" s="17" t="s">
        <v>99</v>
      </c>
      <c r="E48">
        <f t="shared" ref="E48:E81" si="1">VLOOKUP(D48,$A$39:$B$41,2,FALSE)</f>
        <v>9.4</v>
      </c>
    </row>
    <row r="49" spans="1:5" ht="15" thickBot="1" x14ac:dyDescent="0.35">
      <c r="B49" t="s">
        <v>63</v>
      </c>
      <c r="C49" s="20">
        <v>12</v>
      </c>
      <c r="D49" s="17" t="s">
        <v>99</v>
      </c>
      <c r="E49">
        <f t="shared" si="1"/>
        <v>9.4</v>
      </c>
    </row>
    <row r="50" spans="1:5" ht="15" thickBot="1" x14ac:dyDescent="0.35">
      <c r="B50" t="s">
        <v>64</v>
      </c>
      <c r="C50" s="20">
        <v>11</v>
      </c>
      <c r="D50" s="17" t="s">
        <v>99</v>
      </c>
      <c r="E50">
        <f t="shared" si="1"/>
        <v>9.4</v>
      </c>
    </row>
    <row r="51" spans="1:5" ht="15" thickBot="1" x14ac:dyDescent="0.35">
      <c r="B51" t="s">
        <v>65</v>
      </c>
      <c r="C51" s="20">
        <v>10</v>
      </c>
      <c r="D51" s="17" t="s">
        <v>99</v>
      </c>
      <c r="E51">
        <f t="shared" si="1"/>
        <v>9.4</v>
      </c>
    </row>
    <row r="52" spans="1:5" ht="15" thickBot="1" x14ac:dyDescent="0.35">
      <c r="B52" t="s">
        <v>66</v>
      </c>
      <c r="C52" s="20">
        <v>8</v>
      </c>
      <c r="D52" s="17" t="s">
        <v>99</v>
      </c>
      <c r="E52">
        <f t="shared" si="1"/>
        <v>9.4</v>
      </c>
    </row>
    <row r="53" spans="1:5" ht="15" thickBot="1" x14ac:dyDescent="0.35">
      <c r="A53" t="s">
        <v>21</v>
      </c>
      <c r="B53" t="s">
        <v>67</v>
      </c>
      <c r="C53" s="20">
        <v>50</v>
      </c>
      <c r="D53" s="17" t="s">
        <v>98</v>
      </c>
      <c r="E53">
        <f t="shared" si="1"/>
        <v>7.1</v>
      </c>
    </row>
    <row r="54" spans="1:5" ht="15" thickBot="1" x14ac:dyDescent="0.35">
      <c r="A54" t="s">
        <v>110</v>
      </c>
      <c r="B54" t="s">
        <v>86</v>
      </c>
      <c r="C54" s="20">
        <f>1/5</f>
        <v>0.2</v>
      </c>
      <c r="D54" s="17" t="s">
        <v>99</v>
      </c>
      <c r="E54">
        <f>VLOOKUP(D54,$A$39:$B$41,2,FALSE)</f>
        <v>9.4</v>
      </c>
    </row>
    <row r="55" spans="1:5" ht="15" thickBot="1" x14ac:dyDescent="0.35">
      <c r="A55" s="22" t="s">
        <v>130</v>
      </c>
      <c r="B55" t="s">
        <v>87</v>
      </c>
      <c r="C55" s="20">
        <f>1/3</f>
        <v>0.33333333333333331</v>
      </c>
      <c r="D55" s="17" t="s">
        <v>99</v>
      </c>
      <c r="E55">
        <f>VLOOKUP(D55,$A$39:$B$41,2,FALSE)</f>
        <v>9.4</v>
      </c>
    </row>
    <row r="56" spans="1:5" ht="15" thickBot="1" x14ac:dyDescent="0.35">
      <c r="B56" t="s">
        <v>88</v>
      </c>
      <c r="C56" s="20">
        <f>1/2</f>
        <v>0.5</v>
      </c>
      <c r="D56" s="17" t="s">
        <v>99</v>
      </c>
      <c r="E56">
        <f>VLOOKUP(D56,$A$39:$B$41,2,FALSE)</f>
        <v>9.4</v>
      </c>
    </row>
    <row r="57" spans="1:5" ht="15" thickBot="1" x14ac:dyDescent="0.35">
      <c r="B57" t="s">
        <v>89</v>
      </c>
      <c r="C57" s="20">
        <v>1</v>
      </c>
      <c r="D57" s="17" t="s">
        <v>99</v>
      </c>
      <c r="E57">
        <f>VLOOKUP(D57,$A$39:$B$41,2,FALSE)</f>
        <v>9.4</v>
      </c>
    </row>
    <row r="58" spans="1:5" ht="15" thickBot="1" x14ac:dyDescent="0.35">
      <c r="B58" t="s">
        <v>68</v>
      </c>
      <c r="C58" s="20">
        <v>47</v>
      </c>
      <c r="D58" s="17" t="s">
        <v>98</v>
      </c>
      <c r="E58">
        <f t="shared" si="1"/>
        <v>7.1</v>
      </c>
    </row>
    <row r="59" spans="1:5" ht="15" thickBot="1" x14ac:dyDescent="0.35">
      <c r="B59" t="s">
        <v>69</v>
      </c>
      <c r="C59" s="20">
        <v>36</v>
      </c>
      <c r="D59" s="17" t="s">
        <v>98</v>
      </c>
      <c r="E59">
        <f t="shared" si="1"/>
        <v>7.1</v>
      </c>
    </row>
    <row r="60" spans="1:5" ht="15" thickBot="1" x14ac:dyDescent="0.35">
      <c r="B60" t="s">
        <v>70</v>
      </c>
      <c r="C60" s="20">
        <v>95</v>
      </c>
      <c r="D60" s="17" t="s">
        <v>98</v>
      </c>
      <c r="E60">
        <f t="shared" si="1"/>
        <v>7.1</v>
      </c>
    </row>
    <row r="61" spans="1:5" ht="15" thickBot="1" x14ac:dyDescent="0.35">
      <c r="B61" t="s">
        <v>71</v>
      </c>
      <c r="C61" s="20">
        <v>77</v>
      </c>
      <c r="D61" s="17" t="s">
        <v>98</v>
      </c>
      <c r="E61">
        <f t="shared" si="1"/>
        <v>7.1</v>
      </c>
    </row>
    <row r="62" spans="1:5" ht="15" thickBot="1" x14ac:dyDescent="0.35">
      <c r="B62" t="s">
        <v>72</v>
      </c>
      <c r="C62" s="20">
        <v>70</v>
      </c>
      <c r="D62" s="17" t="s">
        <v>98</v>
      </c>
      <c r="E62">
        <f t="shared" si="1"/>
        <v>7.1</v>
      </c>
    </row>
    <row r="63" spans="1:5" ht="15" thickBot="1" x14ac:dyDescent="0.35">
      <c r="B63" t="s">
        <v>73</v>
      </c>
      <c r="C63" s="20">
        <v>45</v>
      </c>
      <c r="D63" s="17" t="s">
        <v>98</v>
      </c>
      <c r="E63">
        <f t="shared" si="1"/>
        <v>7.1</v>
      </c>
    </row>
    <row r="64" spans="1:5" ht="15" thickBot="1" x14ac:dyDescent="0.35">
      <c r="B64" t="s">
        <v>74</v>
      </c>
      <c r="C64" s="20">
        <v>28</v>
      </c>
      <c r="D64" s="17" t="s">
        <v>98</v>
      </c>
      <c r="E64">
        <f t="shared" si="1"/>
        <v>7.1</v>
      </c>
    </row>
    <row r="65" spans="2:5" ht="15" thickBot="1" x14ac:dyDescent="0.35">
      <c r="B65" t="s">
        <v>75</v>
      </c>
      <c r="C65" s="20">
        <v>30</v>
      </c>
      <c r="D65" s="17" t="s">
        <v>98</v>
      </c>
      <c r="E65">
        <f t="shared" si="1"/>
        <v>7.1</v>
      </c>
    </row>
    <row r="66" spans="2:5" ht="15" thickBot="1" x14ac:dyDescent="0.35">
      <c r="B66" t="s">
        <v>76</v>
      </c>
      <c r="C66" s="20">
        <v>13</v>
      </c>
      <c r="D66" s="17" t="s">
        <v>98</v>
      </c>
      <c r="E66">
        <f t="shared" si="1"/>
        <v>7.1</v>
      </c>
    </row>
    <row r="67" spans="2:5" ht="15" thickBot="1" x14ac:dyDescent="0.35">
      <c r="B67" t="s">
        <v>77</v>
      </c>
      <c r="C67" s="20">
        <v>30</v>
      </c>
      <c r="D67" s="17" t="s">
        <v>98</v>
      </c>
      <c r="E67">
        <f t="shared" si="1"/>
        <v>7.1</v>
      </c>
    </row>
    <row r="68" spans="2:5" ht="15" thickBot="1" x14ac:dyDescent="0.35">
      <c r="B68" t="s">
        <v>78</v>
      </c>
      <c r="C68" s="20">
        <v>575</v>
      </c>
      <c r="D68" s="17" t="s">
        <v>98</v>
      </c>
      <c r="E68">
        <f t="shared" si="1"/>
        <v>7.1</v>
      </c>
    </row>
    <row r="69" spans="2:5" ht="15" thickBot="1" x14ac:dyDescent="0.35">
      <c r="B69" t="s">
        <v>79</v>
      </c>
      <c r="C69" s="20">
        <v>920</v>
      </c>
      <c r="D69" s="17" t="s">
        <v>98</v>
      </c>
      <c r="E69">
        <f t="shared" si="1"/>
        <v>7.1</v>
      </c>
    </row>
    <row r="70" spans="2:5" ht="15" thickBot="1" x14ac:dyDescent="0.35">
      <c r="B70" t="s">
        <v>80</v>
      </c>
      <c r="C70" s="20">
        <v>360</v>
      </c>
      <c r="D70" s="17" t="s">
        <v>98</v>
      </c>
      <c r="E70">
        <f t="shared" si="1"/>
        <v>7.1</v>
      </c>
    </row>
    <row r="71" spans="2:5" ht="15" thickBot="1" x14ac:dyDescent="0.35">
      <c r="B71" t="s">
        <v>81</v>
      </c>
      <c r="C71" s="20">
        <v>18</v>
      </c>
      <c r="D71" s="17" t="s">
        <v>99</v>
      </c>
      <c r="E71">
        <f t="shared" si="1"/>
        <v>9.4</v>
      </c>
    </row>
    <row r="72" spans="2:5" ht="15" thickBot="1" x14ac:dyDescent="0.35">
      <c r="B72" t="s">
        <v>82</v>
      </c>
      <c r="C72" s="20">
        <v>18</v>
      </c>
      <c r="D72" s="17" t="s">
        <v>99</v>
      </c>
      <c r="E72">
        <f t="shared" si="1"/>
        <v>9.4</v>
      </c>
    </row>
    <row r="73" spans="2:5" ht="15" thickBot="1" x14ac:dyDescent="0.35">
      <c r="B73" t="s">
        <v>83</v>
      </c>
      <c r="C73" s="20">
        <v>90</v>
      </c>
      <c r="D73" s="17" t="s">
        <v>99</v>
      </c>
      <c r="E73">
        <f t="shared" si="1"/>
        <v>9.4</v>
      </c>
    </row>
    <row r="74" spans="2:5" ht="15" thickBot="1" x14ac:dyDescent="0.35">
      <c r="B74" t="s">
        <v>84</v>
      </c>
      <c r="C74" s="20">
        <v>16</v>
      </c>
      <c r="D74" s="17" t="s">
        <v>99</v>
      </c>
      <c r="E74">
        <f t="shared" si="1"/>
        <v>9.4</v>
      </c>
    </row>
    <row r="75" spans="2:5" ht="15" thickBot="1" x14ac:dyDescent="0.35">
      <c r="B75" t="s">
        <v>85</v>
      </c>
      <c r="C75" s="20">
        <v>18</v>
      </c>
      <c r="D75" s="17" t="s">
        <v>99</v>
      </c>
      <c r="E75">
        <f t="shared" si="1"/>
        <v>9.4</v>
      </c>
    </row>
    <row r="76" spans="2:5" ht="15" thickBot="1" x14ac:dyDescent="0.35">
      <c r="B76" t="s">
        <v>90</v>
      </c>
      <c r="C76" s="20">
        <v>100</v>
      </c>
      <c r="D76" s="17" t="s">
        <v>100</v>
      </c>
      <c r="E76">
        <f t="shared" si="1"/>
        <v>11.9</v>
      </c>
    </row>
    <row r="77" spans="2:5" ht="15" thickBot="1" x14ac:dyDescent="0.35">
      <c r="B77" t="s">
        <v>91</v>
      </c>
      <c r="C77" s="20">
        <v>65</v>
      </c>
      <c r="D77" s="17" t="s">
        <v>100</v>
      </c>
      <c r="E77">
        <f t="shared" si="1"/>
        <v>11.9</v>
      </c>
    </row>
    <row r="78" spans="2:5" ht="15" thickBot="1" x14ac:dyDescent="0.35">
      <c r="B78" t="s">
        <v>92</v>
      </c>
      <c r="C78" s="20">
        <v>65</v>
      </c>
      <c r="D78" s="17" t="s">
        <v>100</v>
      </c>
      <c r="E78">
        <f t="shared" si="1"/>
        <v>11.9</v>
      </c>
    </row>
    <row r="79" spans="2:5" ht="15" thickBot="1" x14ac:dyDescent="0.35">
      <c r="B79" t="s">
        <v>93</v>
      </c>
      <c r="C79" s="20">
        <v>200</v>
      </c>
      <c r="D79" s="17" t="s">
        <v>100</v>
      </c>
      <c r="E79">
        <f t="shared" si="1"/>
        <v>11.9</v>
      </c>
    </row>
    <row r="80" spans="2:5" ht="15" thickBot="1" x14ac:dyDescent="0.35">
      <c r="B80" t="s">
        <v>94</v>
      </c>
      <c r="C80" s="20">
        <v>165</v>
      </c>
      <c r="D80" s="17" t="s">
        <v>100</v>
      </c>
      <c r="E80">
        <f t="shared" si="1"/>
        <v>11.9</v>
      </c>
    </row>
    <row r="81" spans="1:6" ht="15" thickBot="1" x14ac:dyDescent="0.35">
      <c r="B81" t="s">
        <v>95</v>
      </c>
      <c r="C81" s="20">
        <v>70</v>
      </c>
      <c r="D81" s="17" t="s">
        <v>100</v>
      </c>
      <c r="E81">
        <f t="shared" si="1"/>
        <v>11.9</v>
      </c>
    </row>
    <row r="85" spans="1:6" x14ac:dyDescent="0.3">
      <c r="A85" s="1" t="s">
        <v>126</v>
      </c>
      <c r="D85" t="s">
        <v>101</v>
      </c>
      <c r="E85" t="s">
        <v>124</v>
      </c>
      <c r="F85" t="s">
        <v>125</v>
      </c>
    </row>
    <row r="86" spans="1:6" x14ac:dyDescent="0.3">
      <c r="B86" t="s">
        <v>113</v>
      </c>
      <c r="C86" t="s">
        <v>114</v>
      </c>
      <c r="D86">
        <f>ROUND('Residential - non student'!B13*'Officer sheet'!B42,0)</f>
        <v>0</v>
      </c>
      <c r="E86">
        <f>ROUND('Residential - students'!B10*'Officer sheet'!B42,0)</f>
        <v>0</v>
      </c>
      <c r="F86">
        <f>ROUNDUP(IF(Commercial!B15=0,0,(Commercial!B15*VLOOKUP(Commercial!B7,'Officer sheet'!$B$47:$E$81,4,FALSE))),0)</f>
        <v>0</v>
      </c>
    </row>
    <row r="87" spans="1:6" x14ac:dyDescent="0.3">
      <c r="A87" t="s">
        <v>120</v>
      </c>
      <c r="B87" s="20">
        <v>0.1</v>
      </c>
      <c r="C87" s="20">
        <v>392</v>
      </c>
      <c r="D87">
        <f>$B87*$D$86*C87</f>
        <v>0</v>
      </c>
      <c r="E87">
        <f>$B87*E$86*$C87</f>
        <v>0</v>
      </c>
      <c r="F87">
        <f>ROUNDUP($B87*F$86,0)*$C87</f>
        <v>0</v>
      </c>
    </row>
    <row r="88" spans="1:6" x14ac:dyDescent="0.3">
      <c r="A88" t="s">
        <v>121</v>
      </c>
      <c r="B88" s="20">
        <f>0.05</f>
        <v>0.05</v>
      </c>
      <c r="C88" s="20">
        <v>600</v>
      </c>
      <c r="D88">
        <f t="shared" ref="D88" si="2">$B88*$D$86*C88</f>
        <v>0</v>
      </c>
      <c r="E88">
        <f t="shared" ref="E88:E90" si="3">$B88*E$86*$C88</f>
        <v>0</v>
      </c>
      <c r="F88">
        <f>(ROUNDUP($B88*F$86,0)*$C88)*3/2</f>
        <v>0</v>
      </c>
    </row>
    <row r="89" spans="1:6" x14ac:dyDescent="0.3">
      <c r="A89" t="s">
        <v>122</v>
      </c>
      <c r="B89" s="20">
        <f>0.15</f>
        <v>0.15</v>
      </c>
      <c r="C89" s="20">
        <v>600</v>
      </c>
      <c r="D89">
        <f t="shared" ref="D89" si="4">$B89*$D$86*C89</f>
        <v>0</v>
      </c>
      <c r="E89">
        <f t="shared" si="3"/>
        <v>0</v>
      </c>
      <c r="F89">
        <f t="shared" ref="F89:F90" si="5">ROUNDUP($B89*F$86,0)*$C89</f>
        <v>0</v>
      </c>
    </row>
    <row r="90" spans="1:6" x14ac:dyDescent="0.3">
      <c r="A90" t="s">
        <v>123</v>
      </c>
      <c r="B90" s="20">
        <v>0.1</v>
      </c>
      <c r="C90" s="20">
        <v>300</v>
      </c>
      <c r="D90">
        <f t="shared" ref="D90" si="6">$B90*$D$86*C90</f>
        <v>0</v>
      </c>
      <c r="E90">
        <f t="shared" si="3"/>
        <v>0</v>
      </c>
      <c r="F90">
        <f t="shared" si="5"/>
        <v>0</v>
      </c>
    </row>
    <row r="91" spans="1:6" x14ac:dyDescent="0.3">
      <c r="D91">
        <f>SUM(D87:D90)</f>
        <v>0</v>
      </c>
      <c r="E91">
        <f t="shared" ref="E91:F91" si="7">SUM(E87:E90)</f>
        <v>0</v>
      </c>
      <c r="F91">
        <f t="shared" si="7"/>
        <v>0</v>
      </c>
    </row>
  </sheetData>
  <sheetProtection selectLockedCells="1"/>
  <mergeCells count="2">
    <mergeCell ref="C29:E29"/>
    <mergeCell ref="F29:H29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9"/>
  <sheetViews>
    <sheetView workbookViewId="0">
      <selection activeCell="G7" sqref="G7"/>
    </sheetView>
  </sheetViews>
  <sheetFormatPr defaultRowHeight="14.4" x14ac:dyDescent="0.3"/>
  <cols>
    <col min="1" max="1" width="22.88671875" customWidth="1"/>
    <col min="9" max="9" width="27.33203125" bestFit="1" customWidth="1"/>
    <col min="10" max="10" width="31.109375" bestFit="1" customWidth="1"/>
  </cols>
  <sheetData>
    <row r="2" spans="1:12" x14ac:dyDescent="0.3">
      <c r="A2" t="s">
        <v>0</v>
      </c>
    </row>
    <row r="4" spans="1:12" x14ac:dyDescent="0.3">
      <c r="A4" t="s">
        <v>1</v>
      </c>
    </row>
    <row r="6" spans="1:12" x14ac:dyDescent="0.3">
      <c r="A6" t="s">
        <v>9</v>
      </c>
      <c r="B6" t="s">
        <v>2</v>
      </c>
      <c r="C6" t="s">
        <v>3</v>
      </c>
      <c r="D6" t="s">
        <v>4</v>
      </c>
      <c r="E6">
        <v>4</v>
      </c>
      <c r="F6" t="s">
        <v>12</v>
      </c>
      <c r="G6" t="s">
        <v>6</v>
      </c>
    </row>
    <row r="7" spans="1:12" x14ac:dyDescent="0.3">
      <c r="B7">
        <f>'Residential - non student'!B9</f>
        <v>0</v>
      </c>
      <c r="C7">
        <f>'Residential - non student'!C9</f>
        <v>0</v>
      </c>
      <c r="D7">
        <f>'Residential - non student'!D9</f>
        <v>0</v>
      </c>
      <c r="E7">
        <f>'Residential - non student'!E9</f>
        <v>0</v>
      </c>
      <c r="F7">
        <f>'Residential - non student'!F9</f>
        <v>0</v>
      </c>
      <c r="G7">
        <f>SUM(B7:F7)</f>
        <v>0</v>
      </c>
    </row>
    <row r="11" spans="1:12" x14ac:dyDescent="0.3">
      <c r="A11" t="s">
        <v>10</v>
      </c>
    </row>
    <row r="12" spans="1:12" x14ac:dyDescent="0.3">
      <c r="A12" t="s">
        <v>11</v>
      </c>
      <c r="B12">
        <f>'Residential - students'!B6</f>
        <v>0</v>
      </c>
    </row>
    <row r="13" spans="1:12" x14ac:dyDescent="0.3">
      <c r="L13" s="4"/>
    </row>
    <row r="14" spans="1:12" x14ac:dyDescent="0.3">
      <c r="L14" s="4"/>
    </row>
    <row r="17" spans="1:2" x14ac:dyDescent="0.3">
      <c r="A17" t="s">
        <v>19</v>
      </c>
    </row>
    <row r="18" spans="1:2" x14ac:dyDescent="0.3">
      <c r="A18" t="s">
        <v>28</v>
      </c>
      <c r="B18">
        <f>Commercial!B6</f>
        <v>0</v>
      </c>
    </row>
    <row r="19" spans="1:2" x14ac:dyDescent="0.3">
      <c r="A19" t="s">
        <v>24</v>
      </c>
      <c r="B19">
        <f>IF(Commercial!C11="sq m",Commercial!B11,Commercial!B11*0.092903)</f>
        <v>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Front page</vt:lpstr>
      <vt:lpstr>Residential - non student</vt:lpstr>
      <vt:lpstr>Residential - students</vt:lpstr>
      <vt:lpstr>Commercial</vt:lpstr>
      <vt:lpstr>Operational proportions</vt:lpstr>
      <vt:lpstr>Officer sheet</vt:lpstr>
      <vt:lpstr>inputs</vt:lpstr>
    </vt:vector>
  </TitlesOfParts>
  <Company>Nottingham City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Geoff Oxendale</dc:creator>
  <cp:lastModifiedBy>Geoff Oxendale</cp:lastModifiedBy>
  <dcterms:created xsi:type="dcterms:W3CDTF">2020-07-22T08:56:42Z</dcterms:created>
  <dcterms:modified xsi:type="dcterms:W3CDTF">2021-05-27T14:50:38Z</dcterms:modified>
</cp:coreProperties>
</file>